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bookViews>
    <workbookView xWindow="480" yWindow="30" windowWidth="27825" windowHeight="12150" activeTab="5"/>
  </bookViews>
  <sheets>
    <sheet name="Uitleg" sheetId="1" r:id="rId1"/>
    <sheet name="Invulformulier" sheetId="2" r:id="rId2"/>
    <sheet name="Premies 2017 en 2018" sheetId="3" r:id="rId3"/>
    <sheet name="Formules" sheetId="4" r:id="rId4"/>
    <sheet name="Hulpsheet" sheetId="6" state="hidden" r:id="rId5"/>
    <sheet name="Premies en parameters" sheetId="5" r:id="rId6"/>
  </sheets>
  <definedNames>
    <definedName name="_xlnm.Print_Area" localSheetId="5">'Premies en parameters'!$A$1:$I$386</definedName>
  </definedNames>
  <calcPr calcId="152511" iterate="1"/>
</workbook>
</file>

<file path=xl/calcChain.xml><?xml version="1.0" encoding="utf-8"?>
<calcChain xmlns="http://schemas.openxmlformats.org/spreadsheetml/2006/main">
  <c r="F77" i="5" l="1"/>
  <c r="F79" i="5"/>
  <c r="F75" i="5"/>
  <c r="B5" i="4" l="1"/>
  <c r="B6" i="4"/>
  <c r="G7" i="4" l="1"/>
  <c r="B48" i="4" l="1"/>
  <c r="B24" i="4"/>
  <c r="B82" i="5"/>
  <c r="B154" i="5"/>
  <c r="B226" i="5"/>
  <c r="F6" i="5"/>
  <c r="F7" i="5" s="1"/>
  <c r="B19" i="3"/>
  <c r="B38" i="3"/>
  <c r="C12" i="3"/>
  <c r="C9" i="3"/>
  <c r="C8" i="3"/>
  <c r="C7" i="3"/>
  <c r="D24" i="6"/>
  <c r="H17" i="2" s="1"/>
  <c r="D23" i="6"/>
  <c r="D22" i="6"/>
  <c r="D21" i="6"/>
  <c r="C24" i="6"/>
  <c r="H16" i="6" s="1"/>
  <c r="C23" i="6"/>
  <c r="C22" i="6"/>
  <c r="C21" i="6"/>
  <c r="F3" i="6"/>
  <c r="F4" i="6" s="1"/>
  <c r="F5" i="6" s="1"/>
  <c r="F6" i="6" s="1"/>
  <c r="F7" i="6" s="1"/>
  <c r="F8" i="6" s="1"/>
  <c r="F9" i="6" s="1"/>
  <c r="F10" i="6" s="1"/>
  <c r="F11" i="6" s="1"/>
  <c r="F12" i="6" s="1"/>
  <c r="F13" i="6" s="1"/>
  <c r="D60" i="4" l="1"/>
  <c r="D55" i="4"/>
  <c r="H16" i="2"/>
  <c r="F9" i="5"/>
  <c r="D31" i="4"/>
  <c r="D45" i="4" s="1"/>
  <c r="D26" i="4"/>
  <c r="D36" i="4"/>
  <c r="E6" i="5"/>
  <c r="D6" i="5" s="1"/>
  <c r="D9" i="5" s="1"/>
  <c r="F73" i="5"/>
  <c r="F10" i="5"/>
  <c r="D68" i="4" l="1"/>
  <c r="D66" i="4"/>
  <c r="D65" i="4"/>
  <c r="D43" i="4"/>
  <c r="D42" i="4"/>
  <c r="D38" i="4" s="1"/>
  <c r="D7" i="5"/>
  <c r="E10" i="5"/>
  <c r="E9" i="5"/>
  <c r="E7" i="5"/>
  <c r="D10" i="5"/>
  <c r="D73" i="5"/>
  <c r="E73" i="5"/>
  <c r="H28" i="2" l="1"/>
  <c r="E3" i="6"/>
  <c r="C30" i="2"/>
  <c r="C38" i="2"/>
  <c r="C34" i="2"/>
  <c r="C42" i="2"/>
  <c r="C23" i="2"/>
  <c r="C19" i="2"/>
  <c r="C17" i="2"/>
  <c r="C16" i="2"/>
  <c r="C9" i="2"/>
  <c r="C10" i="2" s="1"/>
  <c r="C11" i="2" s="1"/>
  <c r="C12" i="2" s="1"/>
  <c r="C13" i="2" s="1"/>
  <c r="C14" i="2" s="1"/>
  <c r="D77" i="5" l="1"/>
  <c r="D79" i="5"/>
  <c r="D78" i="5"/>
  <c r="E4" i="6"/>
  <c r="E5" i="6" s="1"/>
  <c r="E6" i="6" s="1"/>
  <c r="E7" i="6" s="1"/>
  <c r="E8" i="6" s="1"/>
  <c r="E9" i="6" s="1"/>
  <c r="E10" i="6" s="1"/>
  <c r="E11" i="6" s="1"/>
  <c r="E12" i="6" s="1"/>
  <c r="E13" i="6" s="1"/>
  <c r="D75" i="5"/>
  <c r="A10" i="6"/>
  <c r="A11" i="6" s="1"/>
  <c r="E42" i="3" l="1"/>
  <c r="E209" i="5"/>
  <c r="F78" i="5"/>
  <c r="E27" i="3" s="1"/>
  <c r="E120" i="5"/>
  <c r="E184" i="5"/>
  <c r="E207" i="5"/>
  <c r="E157" i="5"/>
  <c r="F158" i="5"/>
  <c r="F140" i="5"/>
  <c r="E186" i="5"/>
  <c r="E93" i="5"/>
  <c r="F123" i="5"/>
  <c r="E122" i="5"/>
  <c r="F91" i="5"/>
  <c r="E220" i="5"/>
  <c r="F103" i="5"/>
  <c r="E78" i="5"/>
  <c r="E46" i="3" s="1"/>
  <c r="E136" i="5"/>
  <c r="E178" i="5"/>
  <c r="F112" i="5"/>
  <c r="F162" i="5"/>
  <c r="E201" i="5"/>
  <c r="E202" i="5"/>
  <c r="E111" i="5"/>
  <c r="F191" i="5"/>
  <c r="F184" i="5"/>
  <c r="E205" i="5"/>
  <c r="E106" i="5"/>
  <c r="F220" i="5"/>
  <c r="F194" i="5"/>
  <c r="F169" i="5"/>
  <c r="E115" i="5"/>
  <c r="F197" i="5"/>
  <c r="F179" i="5"/>
  <c r="F217" i="5"/>
  <c r="F218" i="5"/>
  <c r="F159" i="5"/>
  <c r="E215" i="5"/>
  <c r="E173" i="5"/>
  <c r="F95" i="5"/>
  <c r="E128" i="5"/>
  <c r="F200" i="5"/>
  <c r="E108" i="5"/>
  <c r="F192" i="5"/>
  <c r="F105" i="5"/>
  <c r="F185" i="5"/>
  <c r="F106" i="5"/>
  <c r="F214" i="5"/>
  <c r="F187" i="5"/>
  <c r="F151" i="5"/>
  <c r="F195" i="5"/>
  <c r="E75" i="5"/>
  <c r="E41" i="3" s="1"/>
  <c r="E102" i="5"/>
  <c r="E214" i="5"/>
  <c r="E100" i="5"/>
  <c r="E107" i="5"/>
  <c r="F221" i="5"/>
  <c r="F101" i="5"/>
  <c r="E148" i="5"/>
  <c r="E109" i="5"/>
  <c r="F182" i="5"/>
  <c r="F141" i="5"/>
  <c r="E129" i="5"/>
  <c r="E91" i="5"/>
  <c r="F130" i="5"/>
  <c r="E79" i="5"/>
  <c r="E48" i="3" s="1"/>
  <c r="F208" i="5"/>
  <c r="F168" i="5"/>
  <c r="F171" i="5"/>
  <c r="F157" i="5"/>
  <c r="E104" i="5"/>
  <c r="F144" i="5"/>
  <c r="E208" i="5"/>
  <c r="E101" i="5"/>
  <c r="F210" i="5"/>
  <c r="F86" i="5"/>
  <c r="E177" i="5"/>
  <c r="F207" i="5"/>
  <c r="E193" i="5"/>
  <c r="F109" i="5"/>
  <c r="E189" i="5"/>
  <c r="E171" i="5"/>
  <c r="E147" i="5"/>
  <c r="E213" i="5"/>
  <c r="F164" i="5"/>
  <c r="F178" i="5"/>
  <c r="F142" i="5"/>
  <c r="E196" i="5"/>
  <c r="F132" i="5"/>
  <c r="E133" i="5"/>
  <c r="E160" i="5"/>
  <c r="E116" i="5"/>
  <c r="E176" i="5"/>
  <c r="E112" i="5"/>
  <c r="F99" i="5"/>
  <c r="F189" i="5"/>
  <c r="F88" i="5"/>
  <c r="F202" i="5"/>
  <c r="E203" i="5"/>
  <c r="E94" i="5"/>
  <c r="F145" i="5"/>
  <c r="F216" i="5"/>
  <c r="F163" i="5"/>
  <c r="F186" i="5"/>
  <c r="F172" i="5"/>
  <c r="E181" i="5"/>
  <c r="E180" i="5"/>
  <c r="F85" i="5"/>
  <c r="F139" i="5"/>
  <c r="F209" i="5"/>
  <c r="F128" i="5"/>
  <c r="F170" i="5"/>
  <c r="E144" i="5"/>
  <c r="F131" i="5"/>
  <c r="F205" i="5"/>
  <c r="F120" i="5"/>
  <c r="F94" i="5"/>
  <c r="E90" i="5"/>
  <c r="F119" i="5"/>
  <c r="F111" i="5"/>
  <c r="F215" i="5"/>
  <c r="F93" i="5"/>
  <c r="F147" i="5"/>
  <c r="F213" i="5"/>
  <c r="F136" i="5"/>
  <c r="F211" i="5"/>
  <c r="E88" i="5"/>
  <c r="E142" i="5"/>
  <c r="F177" i="5"/>
  <c r="E131" i="5"/>
  <c r="E182" i="5"/>
  <c r="E223" i="5"/>
  <c r="E134" i="5"/>
  <c r="F173" i="5"/>
  <c r="E123" i="5"/>
  <c r="F126" i="5"/>
  <c r="E146" i="5"/>
  <c r="E89" i="5"/>
  <c r="E105" i="5"/>
  <c r="F166" i="5"/>
  <c r="E164" i="5"/>
  <c r="E161" i="5"/>
  <c r="F125" i="5"/>
  <c r="F175" i="5"/>
  <c r="E175" i="5"/>
  <c r="E206" i="5"/>
  <c r="F89" i="5"/>
  <c r="F183" i="5"/>
  <c r="F117" i="5"/>
  <c r="F116" i="5"/>
  <c r="E170" i="5"/>
  <c r="F212" i="5"/>
  <c r="F148" i="5"/>
  <c r="E96" i="5"/>
  <c r="E150" i="5"/>
  <c r="F181" i="5"/>
  <c r="E139" i="5"/>
  <c r="E183" i="5"/>
  <c r="E195" i="5"/>
  <c r="E212" i="5"/>
  <c r="F129" i="5"/>
  <c r="F149" i="5"/>
  <c r="E172" i="5"/>
  <c r="E191" i="5"/>
  <c r="E222" i="5"/>
  <c r="F121" i="5"/>
  <c r="F223" i="5"/>
  <c r="E98" i="5"/>
  <c r="F135" i="5"/>
  <c r="E137" i="5"/>
  <c r="F110" i="5"/>
  <c r="F206" i="5"/>
  <c r="F165" i="5"/>
  <c r="F107" i="5"/>
  <c r="F193" i="5"/>
  <c r="F96" i="5"/>
  <c r="E143" i="5"/>
  <c r="E211" i="5"/>
  <c r="F124" i="5"/>
  <c r="E174" i="5"/>
  <c r="E92" i="5"/>
  <c r="E151" i="5"/>
  <c r="E179" i="5"/>
  <c r="E119" i="5"/>
  <c r="F114" i="5"/>
  <c r="E216" i="5"/>
  <c r="E126" i="5"/>
  <c r="E199" i="5"/>
  <c r="E86" i="5"/>
  <c r="F137" i="5"/>
  <c r="E204" i="5"/>
  <c r="F115" i="5"/>
  <c r="E163" i="5"/>
  <c r="E194" i="5"/>
  <c r="E132" i="5"/>
  <c r="E219" i="5"/>
  <c r="E165" i="5"/>
  <c r="E159" i="5"/>
  <c r="E190" i="5"/>
  <c r="E124" i="5"/>
  <c r="E121" i="5"/>
  <c r="E138" i="5"/>
  <c r="E97" i="5"/>
  <c r="F102" i="5"/>
  <c r="E114" i="5"/>
  <c r="E22" i="3"/>
  <c r="F146" i="5"/>
  <c r="F176" i="5"/>
  <c r="E110" i="5"/>
  <c r="F161" i="5"/>
  <c r="E99" i="5"/>
  <c r="E118" i="5"/>
  <c r="E135" i="5"/>
  <c r="E127" i="5"/>
  <c r="F122" i="5"/>
  <c r="F160" i="5"/>
  <c r="E218" i="5"/>
  <c r="F198" i="5"/>
  <c r="F222" i="5"/>
  <c r="E117" i="5"/>
  <c r="E217" i="5"/>
  <c r="E188" i="5"/>
  <c r="E167" i="5"/>
  <c r="E198" i="5"/>
  <c r="E140" i="5"/>
  <c r="F133" i="5"/>
  <c r="E141" i="5"/>
  <c r="F100" i="5"/>
  <c r="E162" i="5"/>
  <c r="F196" i="5"/>
  <c r="F174" i="5"/>
  <c r="F167" i="5"/>
  <c r="F92" i="5"/>
  <c r="E158" i="5"/>
  <c r="F188" i="5"/>
  <c r="F118" i="5"/>
  <c r="F143" i="5"/>
  <c r="E145" i="5"/>
  <c r="F150" i="5"/>
  <c r="F87" i="5"/>
  <c r="E29" i="3"/>
  <c r="F113" i="5"/>
  <c r="F104" i="5"/>
  <c r="E210" i="5"/>
  <c r="F97" i="5"/>
  <c r="E187" i="5"/>
  <c r="F138" i="5"/>
  <c r="F203" i="5"/>
  <c r="E168" i="5"/>
  <c r="E125" i="5"/>
  <c r="E221" i="5"/>
  <c r="F201" i="5"/>
  <c r="F199" i="5"/>
  <c r="F190" i="5"/>
  <c r="F180" i="5"/>
  <c r="E185" i="5"/>
  <c r="E169" i="5"/>
  <c r="F108" i="5"/>
  <c r="E166" i="5"/>
  <c r="F204" i="5"/>
  <c r="E87" i="5"/>
  <c r="E197" i="5"/>
  <c r="E103" i="5"/>
  <c r="F98" i="5"/>
  <c r="E200" i="5"/>
  <c r="E149" i="5"/>
  <c r="F219" i="5"/>
  <c r="E95" i="5"/>
  <c r="F90" i="5"/>
  <c r="E192" i="5"/>
  <c r="E130" i="5"/>
  <c r="E113" i="5"/>
  <c r="F134" i="5"/>
  <c r="E85" i="5"/>
  <c r="F127" i="5"/>
  <c r="E26" i="3"/>
  <c r="E77" i="5"/>
  <c r="E45" i="3" s="1"/>
  <c r="E23" i="3"/>
  <c r="A12" i="6" l="1"/>
  <c r="A13" i="6" s="1"/>
  <c r="A14" i="6" s="1"/>
  <c r="A15" i="6" s="1"/>
  <c r="A16" i="6" s="1"/>
  <c r="A17" i="6" s="1"/>
  <c r="B2" i="2" l="1"/>
  <c r="C15" i="3" l="1"/>
  <c r="D28" i="4" l="1"/>
  <c r="D29" i="4"/>
  <c r="G4" i="4"/>
  <c r="G6" i="4" l="1"/>
  <c r="D39" i="4" s="1"/>
  <c r="G5" i="4"/>
  <c r="D62" i="4" l="1"/>
  <c r="D63" i="4"/>
  <c r="D14" i="3"/>
  <c r="D13" i="3"/>
  <c r="D11" i="3"/>
  <c r="D10" i="3"/>
  <c r="D8" i="3"/>
  <c r="D7" i="3"/>
  <c r="C6" i="3" l="1"/>
  <c r="D15" i="3"/>
  <c r="D33" i="4" l="1"/>
  <c r="D34" i="4"/>
  <c r="D50" i="4"/>
  <c r="E33" i="3" l="1"/>
  <c r="E32" i="3"/>
  <c r="D52" i="4"/>
  <c r="D53" i="4"/>
  <c r="D58" i="4" l="1"/>
  <c r="E52" i="3" s="1"/>
  <c r="D57" i="4"/>
  <c r="E51" i="3" s="1"/>
  <c r="E31" i="3" l="1"/>
  <c r="E50" i="3" l="1"/>
  <c r="E54" i="3" s="1"/>
  <c r="E35" i="3"/>
</calcChain>
</file>

<file path=xl/sharedStrings.xml><?xml version="1.0" encoding="utf-8"?>
<sst xmlns="http://schemas.openxmlformats.org/spreadsheetml/2006/main" count="1385" uniqueCount="294">
  <si>
    <t>Overzicht premies en parameters</t>
  </si>
  <si>
    <t>Gemiddelde loonsom</t>
  </si>
  <si>
    <t>Grens grote/kleine werkgever</t>
  </si>
  <si>
    <t>Grens middelgrote/grote werkgever</t>
  </si>
  <si>
    <t>Grens kleine/middelgrote werkgever</t>
  </si>
  <si>
    <t>WGA-vast</t>
  </si>
  <si>
    <t>Correctiefactor wg-risico</t>
  </si>
  <si>
    <t>Correctiefactoren bij onvolledige periode jaren werkgever</t>
  </si>
  <si>
    <t>Beschikbare periode:</t>
  </si>
  <si>
    <t>1 jaar</t>
  </si>
  <si>
    <t>2 jaren</t>
  </si>
  <si>
    <t>3 jaren</t>
  </si>
  <si>
    <t>4 jaren</t>
  </si>
  <si>
    <t>WGA-flex</t>
  </si>
  <si>
    <t>ZW</t>
  </si>
  <si>
    <t>2016</t>
  </si>
  <si>
    <t>Premies werknemersverzekeringen</t>
  </si>
  <si>
    <t>WW-premie</t>
  </si>
  <si>
    <t>WW-Awf</t>
  </si>
  <si>
    <t>Sectorfonds</t>
  </si>
  <si>
    <t>zie tabel</t>
  </si>
  <si>
    <t>Basispremie WIA/WGA (Aof)</t>
  </si>
  <si>
    <t>Kinderopvang</t>
  </si>
  <si>
    <t>Bijdrage ZVW</t>
  </si>
  <si>
    <t>Sectoren</t>
  </si>
  <si>
    <t>ZW-flex</t>
  </si>
  <si>
    <t>Sector 1</t>
  </si>
  <si>
    <t>Agrarisch bedrijf</t>
  </si>
  <si>
    <t>Sector 2</t>
  </si>
  <si>
    <t>Tabakverwerkende industrie</t>
  </si>
  <si>
    <t>Sector 3</t>
  </si>
  <si>
    <t>Bouwbedrijf</t>
  </si>
  <si>
    <t>Sector 4</t>
  </si>
  <si>
    <t>Baggerbedrijf</t>
  </si>
  <si>
    <t>Sector 5</t>
  </si>
  <si>
    <t>Hout en emballage-industrie</t>
  </si>
  <si>
    <t>Sector 6</t>
  </si>
  <si>
    <t>Timmerindustrie</t>
  </si>
  <si>
    <t>Sector 7</t>
  </si>
  <si>
    <t>Meubel- en orgelbouwindustrie</t>
  </si>
  <si>
    <t>Sector 8</t>
  </si>
  <si>
    <t>Groothandel in hout</t>
  </si>
  <si>
    <t>Sector 9</t>
  </si>
  <si>
    <t>Grafische industrie</t>
  </si>
  <si>
    <t>Sector 10</t>
  </si>
  <si>
    <t>Metaalindustrie</t>
  </si>
  <si>
    <t>Sector 11</t>
  </si>
  <si>
    <t>Electrotechnische industrie</t>
  </si>
  <si>
    <t>Sector 12</t>
  </si>
  <si>
    <t>Metaal- en technische bedrijfstakken</t>
  </si>
  <si>
    <t>Sector 13</t>
  </si>
  <si>
    <t>Bakkerijen</t>
  </si>
  <si>
    <t>Sector 14</t>
  </si>
  <si>
    <t>Suikerverwerkende industrie</t>
  </si>
  <si>
    <t>Sector 15</t>
  </si>
  <si>
    <t>Slagersbedrijven</t>
  </si>
  <si>
    <t>Sector 16</t>
  </si>
  <si>
    <t>Slagers overig</t>
  </si>
  <si>
    <t>Sector 17</t>
  </si>
  <si>
    <t>Detailhandel en ambachten</t>
  </si>
  <si>
    <t>Sector 18</t>
  </si>
  <si>
    <t>Reiniging</t>
  </si>
  <si>
    <t>Sector 19</t>
  </si>
  <si>
    <t>Grootwinkelbedrijf</t>
  </si>
  <si>
    <t>Sector 20</t>
  </si>
  <si>
    <t>Havenbedrijven</t>
  </si>
  <si>
    <t>Sector 21</t>
  </si>
  <si>
    <t>Havenclassificeerders</t>
  </si>
  <si>
    <t>Sector 22</t>
  </si>
  <si>
    <t>Binnenscheepvaart</t>
  </si>
  <si>
    <t>Sector 23</t>
  </si>
  <si>
    <t>Visserij</t>
  </si>
  <si>
    <t>Sector 24</t>
  </si>
  <si>
    <t>Koopvaardij</t>
  </si>
  <si>
    <t>Sector 25</t>
  </si>
  <si>
    <t>Vervoer KLM</t>
  </si>
  <si>
    <t>Sector 26</t>
  </si>
  <si>
    <t>Vervoer NS</t>
  </si>
  <si>
    <t>Sector 27</t>
  </si>
  <si>
    <t>Vervoer Posterijen</t>
  </si>
  <si>
    <t>Sector 28</t>
  </si>
  <si>
    <t>Taxivervoer</t>
  </si>
  <si>
    <t>Sector 29</t>
  </si>
  <si>
    <t>Openbaar vervoer</t>
  </si>
  <si>
    <t>Sector 30</t>
  </si>
  <si>
    <t>Besloten busvervoer</t>
  </si>
  <si>
    <t>Sector 31</t>
  </si>
  <si>
    <t>Overig personenvervoer</t>
  </si>
  <si>
    <t>Sector 32</t>
  </si>
  <si>
    <t>Overig goederenvervoer</t>
  </si>
  <si>
    <t>Sector 33</t>
  </si>
  <si>
    <t>Horeca algemeen</t>
  </si>
  <si>
    <t>Sector 34</t>
  </si>
  <si>
    <t>Horeca catering</t>
  </si>
  <si>
    <t>Sector 35</t>
  </si>
  <si>
    <t>Gezondheid</t>
  </si>
  <si>
    <t>Sector 38</t>
  </si>
  <si>
    <t>Banken</t>
  </si>
  <si>
    <t>Sector 39</t>
  </si>
  <si>
    <t>Verzekeringswezen</t>
  </si>
  <si>
    <t>Sector 40</t>
  </si>
  <si>
    <t>Uitgeverij</t>
  </si>
  <si>
    <t>Sector 41</t>
  </si>
  <si>
    <t>Groothandel I</t>
  </si>
  <si>
    <t>Sector 42</t>
  </si>
  <si>
    <t>Groothandel II</t>
  </si>
  <si>
    <t>Sector 43</t>
  </si>
  <si>
    <t>Zakelijke Dienstverlening I</t>
  </si>
  <si>
    <t>Sector 44</t>
  </si>
  <si>
    <t>Zakelijke Dienstverlening II</t>
  </si>
  <si>
    <t>Sector 45</t>
  </si>
  <si>
    <t>Zakelijke Dienstverlening III</t>
  </si>
  <si>
    <t>Sector 46</t>
  </si>
  <si>
    <t>Zuivelindustrie</t>
  </si>
  <si>
    <t>Sector 47</t>
  </si>
  <si>
    <t>Textielindustrie</t>
  </si>
  <si>
    <t>Sector 48</t>
  </si>
  <si>
    <t>Steen-, cement-, glas- en keramische industrie</t>
  </si>
  <si>
    <t>Sector 49</t>
  </si>
  <si>
    <t>Chemische industrie</t>
  </si>
  <si>
    <t>Sector 50</t>
  </si>
  <si>
    <t>Voedingsindustrie</t>
  </si>
  <si>
    <t>Sector 51</t>
  </si>
  <si>
    <t>Algemene industrie</t>
  </si>
  <si>
    <t>Sector 52</t>
  </si>
  <si>
    <t>Uitzendbedrijven</t>
  </si>
  <si>
    <t>Sector 53</t>
  </si>
  <si>
    <t>Bewakingsondernemingen</t>
  </si>
  <si>
    <t>Sector 54</t>
  </si>
  <si>
    <t>Culturele instellingen</t>
  </si>
  <si>
    <t>Sector 55</t>
  </si>
  <si>
    <t>Overige takken van bedrijf en beroep</t>
  </si>
  <si>
    <t>Sector 56</t>
  </si>
  <si>
    <t>Schildersbedrijf</t>
  </si>
  <si>
    <t>Sector 57</t>
  </si>
  <si>
    <t>Stukadoorsbedrijf</t>
  </si>
  <si>
    <t>Sector 58</t>
  </si>
  <si>
    <t>Dakdekkersbedrijf</t>
  </si>
  <si>
    <t>Sector 59</t>
  </si>
  <si>
    <t>Mortelbedrijf</t>
  </si>
  <si>
    <t>Sector 60</t>
  </si>
  <si>
    <t>Steenhouwersbedrijf</t>
  </si>
  <si>
    <t>Sector 61</t>
  </si>
  <si>
    <t>Overheid, onderwijs en wetenschappen</t>
  </si>
  <si>
    <t>Sector 62</t>
  </si>
  <si>
    <t>Overheid, rijk, politie en rechterlijke macht</t>
  </si>
  <si>
    <t>Sector 63</t>
  </si>
  <si>
    <t>Overheid, defensie</t>
  </si>
  <si>
    <t>Sector 64</t>
  </si>
  <si>
    <t>Overheid, provincies en gemeenten</t>
  </si>
  <si>
    <t>Sector 65</t>
  </si>
  <si>
    <t>Overheid, openbare nutsbedrijven</t>
  </si>
  <si>
    <t>Sector 66</t>
  </si>
  <si>
    <t>Overheid, overige instellingen</t>
  </si>
  <si>
    <t>Sector 67</t>
  </si>
  <si>
    <t>Werk en (re)Integratie</t>
  </si>
  <si>
    <t>Sector 68</t>
  </si>
  <si>
    <t>Railbouw</t>
  </si>
  <si>
    <t>Sector 69</t>
  </si>
  <si>
    <t>Telecommunicatie</t>
  </si>
  <si>
    <t>Premies sectorfonds</t>
  </si>
  <si>
    <t>Agrarisch bedrijf - gemiddeld</t>
  </si>
  <si>
    <t>Agrarisch bedrijf - hoog</t>
  </si>
  <si>
    <t>Agrarisch bedrijf - laag</t>
  </si>
  <si>
    <t>Bouwbedrijf - gemiddeld</t>
  </si>
  <si>
    <t>Bouwbedrijf - hoog</t>
  </si>
  <si>
    <t>Bouwbedrijf - laag</t>
  </si>
  <si>
    <t>Grafische industrie - gemiddeld</t>
  </si>
  <si>
    <t>grafische industrie exclusief fotografisch bedrijf</t>
  </si>
  <si>
    <t>fotografisch bedrijf</t>
  </si>
  <si>
    <t>Horeca algemeen - gemiddeld</t>
  </si>
  <si>
    <t>Horeca algemeen - hoog</t>
  </si>
  <si>
    <t>Horeca algemeen - laag</t>
  </si>
  <si>
    <t>Uitzendbedrijven - gemiddeld</t>
  </si>
  <si>
    <t>Uitzendbedrijven - Detachering</t>
  </si>
  <si>
    <t>Uitzendbedrijven - Intermediaire diensten</t>
  </si>
  <si>
    <t>Uitzendbedrijven IA</t>
  </si>
  <si>
    <t>Uitzendbedrijven IIA</t>
  </si>
  <si>
    <t>Uitzendbedrijven IB/IIB</t>
  </si>
  <si>
    <t>Culturele instellingen - gemiddeld</t>
  </si>
  <si>
    <t>Culturele instellingen - hoog</t>
  </si>
  <si>
    <t>Culturele instellingen - laag</t>
  </si>
  <si>
    <t>Schildersbedrijf - gemiddeld</t>
  </si>
  <si>
    <t>Schildersbedrijf - hoog</t>
  </si>
  <si>
    <t>Schildersbedrijf - laag</t>
  </si>
  <si>
    <t>Overzicht premies en parameters Whk</t>
  </si>
  <si>
    <t>Formuleblad</t>
  </si>
  <si>
    <t>Sectorale premie</t>
  </si>
  <si>
    <t>Rekenpercentage + Opslag</t>
  </si>
  <si>
    <t>Opslag = correctiefactor * (individueel wg-risico -/- gemiddeld wg-risico)</t>
  </si>
  <si>
    <t>Individueel wg-risico = Uitkeringslast T-2 / gemiddeld premieloon T-6 tot en met T-2</t>
  </si>
  <si>
    <t>C * individuele premie + (1-C)* sectorale premie</t>
  </si>
  <si>
    <t>(loonsomgrens middelgroot/groot - loonsomgrens klein/middelgroot)</t>
  </si>
  <si>
    <t>Is de onderneming ingedeeld in sector 52, Uitzendbedrijven?</t>
  </si>
  <si>
    <t>In te vullen:</t>
  </si>
  <si>
    <t>Nee</t>
  </si>
  <si>
    <t>€</t>
  </si>
  <si>
    <t>Wat was de loonsom in onderstaande jaren?</t>
  </si>
  <si>
    <t>Formules</t>
  </si>
  <si>
    <t>Kleine werkgever</t>
  </si>
  <si>
    <t>Grote werkgever</t>
  </si>
  <si>
    <t>Gedifferentieerde premie</t>
  </si>
  <si>
    <t xml:space="preserve">Formule = </t>
  </si>
  <si>
    <t>Middelgrote werkgever</t>
  </si>
  <si>
    <t>Gedeeltelijk gedifferentieerde premie</t>
  </si>
  <si>
    <t>Onvolledige periode i.v.m. startdatum werkgever?</t>
  </si>
  <si>
    <t>Individueel wg-risico ZW</t>
  </si>
  <si>
    <t>C</t>
  </si>
  <si>
    <t>Uitgangspunten:</t>
  </si>
  <si>
    <t>¡</t>
  </si>
  <si>
    <t xml:space="preserve"> - WW-Awf</t>
  </si>
  <si>
    <t xml:space="preserve"> - Sectorfonds</t>
  </si>
  <si>
    <t xml:space="preserve"> - Kinderopvang</t>
  </si>
  <si>
    <t>Gedifferentieerde premie Whk</t>
  </si>
  <si>
    <t xml:space="preserve"> - WGA-vast</t>
  </si>
  <si>
    <t xml:space="preserve"> - ZW-flex</t>
  </si>
  <si>
    <t>Totaal</t>
  </si>
  <si>
    <t>Basispremie WAO/WIA (Aof)</t>
  </si>
  <si>
    <t xml:space="preserve"> - Basispremie WIA/WGA</t>
  </si>
  <si>
    <t>Wanneer is de onderneming gestart?</t>
  </si>
  <si>
    <t>In welke sector is de werkgever ingedeeld?</t>
  </si>
  <si>
    <t>Uitleg</t>
  </si>
  <si>
    <t>Voor het invullen van de tool dient u de volgende gegevens bij de hand te houden:</t>
  </si>
  <si>
    <t>Mazars Flexwerk</t>
  </si>
  <si>
    <t>Mazars. Verandert kennis in kansen</t>
  </si>
  <si>
    <t>Disclaimer</t>
  </si>
  <si>
    <t>Deze rekentool is een uitgave van Mazars. Ondanks alle zorg die aan deze rekentool is besteed, blijven vergissingen mogelijk. De auteur kan geen aansprakelijkheid nemen voor onvolledigheden/onjuistheden, noch voor de gevolgen van activiteiten die worden ondernomen op basis van de uitkomsten van deze rekentool. Niets uit deze rekentool mag zonder voorafgaande toestemming worden vermenigvuldigd. Heeft u vragen en/of opmerkingen? Neem dan contact met ons op.</t>
  </si>
  <si>
    <t>omk</t>
  </si>
  <si>
    <t>Gemiddeld percentage</t>
  </si>
  <si>
    <t>Rekenpercentage</t>
  </si>
  <si>
    <t>Gem. werkgeversrisico</t>
  </si>
  <si>
    <t>Minimumpremie (grote werkgever)</t>
  </si>
  <si>
    <t>Maximumpremie (grote werkgever)</t>
  </si>
  <si>
    <t>Maximumpremie (grote werkgever) sector 52</t>
  </si>
  <si>
    <t>2017</t>
  </si>
  <si>
    <t>WGA-totaal</t>
  </si>
  <si>
    <t>2015</t>
  </si>
  <si>
    <t>WGA</t>
  </si>
  <si>
    <t>Individueel wg-risico WGA</t>
  </si>
  <si>
    <t>Sector 1 - hoog</t>
  </si>
  <si>
    <t>Sector 1 - laag</t>
  </si>
  <si>
    <t>Sector 3 - hoog</t>
  </si>
  <si>
    <t>Sector 3 - laag</t>
  </si>
  <si>
    <t>Sector 9 - excl. fotografen</t>
  </si>
  <si>
    <t>Sector 9 - fotografen</t>
  </si>
  <si>
    <t>Sector 33 - hoog</t>
  </si>
  <si>
    <t>Sector 33 - laag</t>
  </si>
  <si>
    <t>Sector 52 - Detachering</t>
  </si>
  <si>
    <t>Sector 52 - Intermediaire diensten</t>
  </si>
  <si>
    <t>Sector 52 - IA</t>
  </si>
  <si>
    <t>Sector 52 - IIA</t>
  </si>
  <si>
    <t>Sector 52 - IB/IIB</t>
  </si>
  <si>
    <t>Sector 54 - hoog</t>
  </si>
  <si>
    <t>Sector 54 - laag</t>
  </si>
  <si>
    <t>Sector 56 - hoog</t>
  </si>
  <si>
    <t>Sector 56 - laag</t>
  </si>
  <si>
    <t>Dropdown t.b.v. start onderneming</t>
  </si>
  <si>
    <t>Sectoren code</t>
  </si>
  <si>
    <t>Sectoren naam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</si>
  <si>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</si>
  <si>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</si>
  <si>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</si>
  <si>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</si>
  <si>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</si>
  <si>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</si>
  <si>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</si>
  <si>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</si>
  <si>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</si>
  <si>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Basisjaar tbv rekentool</t>
  </si>
  <si>
    <t>Jaartal</t>
  </si>
  <si>
    <t>Kolomindex nr</t>
  </si>
  <si>
    <t>Grens klein/middel</t>
  </si>
  <si>
    <t>Grens middel/groot</t>
  </si>
  <si>
    <t>Grens klein/middel/groot</t>
  </si>
  <si>
    <t>Premieoverzicht 2017/2018</t>
  </si>
  <si>
    <t>Tussenkolom</t>
  </si>
  <si>
    <t>WGA-totaal premies:</t>
  </si>
  <si>
    <t>ZW-flex premies:</t>
  </si>
  <si>
    <t>Gemiddeld wg-risico WGA</t>
  </si>
  <si>
    <t>Gemiddeld wg-risico ZW</t>
  </si>
  <si>
    <t>Onderdeel</t>
  </si>
  <si>
    <t>WGA jaarlijkse info</t>
  </si>
  <si>
    <t>Correctiefactor wg-risico WGA</t>
  </si>
  <si>
    <t>Correctiefactor wg-risico ZW</t>
  </si>
  <si>
    <t>ZW jaarlijkse info</t>
  </si>
  <si>
    <t>In het tabblad 'Invulformulier' vult u in de grijze vakken de gegevens in. In het tabblad 'Premies' zullen vervolgens uw huidige premies en de geschatte premies voor 2018 worden weergegeven in een tabel, zodat u een vergelijking kunt maken. In de tabbladen 'Formuleblad' en 'Tabellen' vindt u de formules en gegevens waarop de berekeningen zijn gebaseerd.</t>
  </si>
  <si>
    <t>Mocht u nog vragen hebben of meer informatie willen over de gedifferentieerde premies Werkhervattingskas 2018, neem dan gerust contact met ons op! Wij lichten een en ander graag nog even toe.</t>
  </si>
  <si>
    <t>Niels Raaphorst, partner en sectorleider Flexwerk</t>
  </si>
  <si>
    <t>T +31 (0)88 277 1900</t>
  </si>
  <si>
    <t>E nijmegen@mazars.nl</t>
  </si>
  <si>
    <r>
      <t>n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Gegevens met betrekking tot eigenrisicodragerschap ZW en WGA</t>
    </r>
  </si>
  <si>
    <r>
      <t>n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Sectorindeling 2017 en 2018</t>
    </r>
  </si>
  <si>
    <r>
      <t>n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De Whk-beschikking 2017 en 2018 (inclusief de specificatie)</t>
    </r>
  </si>
  <si>
    <r>
      <t xml:space="preserve">C =  </t>
    </r>
    <r>
      <rPr>
        <i/>
        <u/>
        <sz val="11"/>
        <color rgb="FF003366"/>
        <rFont val="Arial"/>
        <family val="2"/>
      </rPr>
      <t xml:space="preserve">(loonsom werkgever - loonsomgrens klein/middelgroot)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</si>
</sst>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0"/>
    <numFmt numFmtId="167" formatCode="&quot;€&quot;\ #,##0"/>
    <numFmt numFmtId="168" formatCode="[$€-2]\ #,##0"/>
    <numFmt numFmtId="169" formatCode="_(* #,##0_);_(* \(#,##0\);_(* &quot;-&quot;??_);_(@_)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i/>
      <sz val="11"/>
      <color theme="3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u/>
      <sz val="11"/>
      <color theme="1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Wingdings 2"/>
      <family val="1"/>
      <charset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Wingdings"/>
      <charset val="2"/>
    </font>
    <font>
      <sz val="11"/>
      <color theme="1"/>
      <name val="Times New Roman"/>
      <family val="1"/>
    </font>
    <font>
      <b/>
      <sz val="11"/>
      <color theme="5"/>
      <name val="Arial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  <font>
      <b/>
      <sz val="18"/>
      <color theme="0"/>
      <name val="Arial Narrow"/>
      <family val="2"/>
    </font>
    <font>
      <b/>
      <sz val="11"/>
      <color rgb="FF003366"/>
      <name val="Arial"/>
      <family val="2"/>
    </font>
    <font>
      <b/>
      <sz val="13"/>
      <color theme="0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i/>
      <sz val="11"/>
      <color rgb="FF003366"/>
      <name val="Arial"/>
      <family val="2"/>
    </font>
    <font>
      <i/>
      <u/>
      <sz val="11"/>
      <color rgb="FF00336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rgb="FF990000"/>
      </left>
      <right/>
      <top/>
      <bottom/>
      <diagonal/>
    </border>
    <border>
      <left/>
      <right style="thin">
        <color rgb="FF990000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rgb="FF990000"/>
      </right>
      <top style="hair">
        <color theme="7" tint="0.39997558519241921"/>
      </top>
      <bottom style="hair">
        <color theme="7" tint="0.39997558519241921"/>
      </bottom>
      <diagonal/>
    </border>
    <border>
      <left/>
      <right style="thin">
        <color rgb="FF990000"/>
      </right>
      <top/>
      <bottom style="hair">
        <color theme="7" tint="0.39997558519241921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thin">
        <color rgb="FF990000"/>
      </right>
      <top style="hair">
        <color theme="7" tint="0.39997558519241921"/>
      </top>
      <bottom/>
      <diagonal/>
    </border>
    <border>
      <left/>
      <right/>
      <top style="hair">
        <color theme="0" tint="-0.249977111117893"/>
      </top>
      <bottom style="thin">
        <color rgb="FF990000"/>
      </bottom>
      <diagonal/>
    </border>
    <border>
      <left/>
      <right style="thin">
        <color rgb="FF990000"/>
      </right>
      <top/>
      <bottom style="thin">
        <color rgb="FF990000"/>
      </bottom>
      <diagonal/>
    </border>
    <border>
      <left style="thin">
        <color rgb="FF990000"/>
      </left>
      <right/>
      <top style="thin">
        <color rgb="FF990000"/>
      </top>
      <bottom/>
      <diagonal/>
    </border>
    <border>
      <left/>
      <right/>
      <top style="thin">
        <color rgb="FF990000"/>
      </top>
      <bottom/>
      <diagonal/>
    </border>
    <border>
      <left/>
      <right style="thin">
        <color rgb="FF990000"/>
      </right>
      <top style="thin">
        <color rgb="FF990000"/>
      </top>
      <bottom/>
      <diagonal/>
    </border>
    <border>
      <left style="thin">
        <color rgb="FF990000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rgb="FF990000"/>
      </left>
      <right/>
      <top/>
      <bottom style="hair">
        <color theme="0" tint="-0.249977111117893"/>
      </bottom>
      <diagonal/>
    </border>
    <border>
      <left/>
      <right/>
      <top/>
      <bottom style="thin">
        <color rgb="FF990000"/>
      </bottom>
      <diagonal/>
    </border>
    <border>
      <left style="thin">
        <color rgb="FF990000"/>
      </left>
      <right/>
      <top style="hair">
        <color theme="0" tint="-0.249977111117893"/>
      </top>
      <bottom/>
      <diagonal/>
    </border>
    <border>
      <left style="thin">
        <color rgb="FF990000"/>
      </left>
      <right/>
      <top/>
      <bottom style="thin">
        <color rgb="FF990000"/>
      </bottom>
      <diagonal/>
    </border>
    <border>
      <left/>
      <right style="thin">
        <color rgb="FF990000"/>
      </right>
      <top/>
      <bottom style="hair">
        <color theme="0" tint="-0.249977111117893"/>
      </bottom>
      <diagonal/>
    </border>
    <border>
      <left/>
      <right style="thin">
        <color rgb="FF990000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5"/>
      </left>
      <right/>
      <top/>
      <bottom/>
      <diagonal/>
    </border>
    <border>
      <left/>
      <right style="thin">
        <color rgb="FF990000"/>
      </right>
      <top style="hair">
        <color theme="7" tint="0.39997558519241921"/>
      </top>
      <bottom style="thin">
        <color rgb="FF990000"/>
      </bottom>
      <diagonal/>
    </border>
    <border>
      <left/>
      <right/>
      <top style="thin">
        <color rgb="FF990000"/>
      </top>
      <bottom style="thin">
        <color rgb="FF99000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7" tint="0.39997558519241921"/>
      </top>
      <bottom style="hair">
        <color theme="7" tint="0.39997558519241921"/>
      </bottom>
      <diagonal/>
    </border>
    <border>
      <left/>
      <right/>
      <top/>
      <bottom style="hair">
        <color theme="7" tint="0.39997558519241921"/>
      </bottom>
      <diagonal/>
    </border>
    <border>
      <left/>
      <right/>
      <top style="hair">
        <color theme="7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165" fontId="0" fillId="6" borderId="0" xfId="1" applyNumberFormat="1" applyFont="1" applyFill="1" applyBorder="1" applyProtection="1">
      <protection locked="0"/>
    </xf>
    <xf numFmtId="4" fontId="1" fillId="6" borderId="0" xfId="0" applyNumberFormat="1" applyFont="1" applyFill="1" applyBorder="1" applyAlignment="1" applyProtection="1">
      <protection locked="0"/>
    </xf>
    <xf numFmtId="0" fontId="1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" fillId="2" borderId="16" xfId="0" applyFont="1" applyFill="1" applyBorder="1" applyProtection="1">
      <protection hidden="1"/>
    </xf>
    <xf numFmtId="0" fontId="10" fillId="2" borderId="2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6" borderId="0" xfId="0" applyFont="1" applyFill="1" applyBorder="1" applyProtection="1">
      <protection locked="0" hidden="1"/>
    </xf>
    <xf numFmtId="0" fontId="7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indent="1"/>
      <protection hidden="1"/>
    </xf>
    <xf numFmtId="0" fontId="0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protection hidden="1"/>
    </xf>
    <xf numFmtId="3" fontId="1" fillId="2" borderId="0" xfId="0" applyNumberFormat="1" applyFont="1" applyFill="1" applyBorder="1" applyAlignment="1" applyProtection="1">
      <protection hidden="1"/>
    </xf>
    <xf numFmtId="3" fontId="1" fillId="2" borderId="0" xfId="0" applyNumberFormat="1" applyFont="1" applyFill="1" applyBorder="1" applyProtection="1">
      <protection hidden="1"/>
    </xf>
    <xf numFmtId="0" fontId="14" fillId="2" borderId="2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1" fillId="6" borderId="0" xfId="0" applyFont="1" applyFill="1" applyBorder="1" applyProtection="1">
      <protection locked="0" hidden="1"/>
    </xf>
    <xf numFmtId="0" fontId="0" fillId="6" borderId="0" xfId="0" applyFont="1" applyFill="1" applyBorder="1" applyProtection="1">
      <protection locked="0" hidden="1"/>
    </xf>
    <xf numFmtId="0" fontId="15" fillId="2" borderId="0" xfId="0" applyFont="1" applyFill="1" applyBorder="1" applyProtection="1"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9" fillId="2" borderId="16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20" fillId="2" borderId="2" xfId="0" applyFont="1" applyFill="1" applyBorder="1" applyAlignment="1" applyProtection="1">
      <alignment horizontal="left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19" fillId="2" borderId="2" xfId="0" applyFont="1" applyFill="1" applyBorder="1" applyAlignment="1" applyProtection="1">
      <alignment horizontal="left" vertical="center"/>
      <protection hidden="1"/>
    </xf>
    <xf numFmtId="167" fontId="7" fillId="2" borderId="0" xfId="0" applyNumberFormat="1" applyFont="1" applyFill="1" applyBorder="1" applyAlignment="1" applyProtection="1">
      <alignment horizontal="left" vertical="center"/>
      <protection hidden="1"/>
    </xf>
    <xf numFmtId="3" fontId="7" fillId="2" borderId="0" xfId="0" applyNumberFormat="1" applyFont="1" applyFill="1" applyBorder="1" applyAlignment="1" applyProtection="1">
      <alignment horizontal="left" vertical="center"/>
      <protection hidden="1"/>
    </xf>
    <xf numFmtId="0" fontId="21" fillId="2" borderId="16" xfId="0" applyFont="1" applyFill="1" applyBorder="1" applyAlignment="1" applyProtection="1">
      <alignment horizontal="left" vertical="center"/>
      <protection hidden="1"/>
    </xf>
    <xf numFmtId="3" fontId="22" fillId="2" borderId="16" xfId="0" applyNumberFormat="1" applyFont="1" applyFill="1" applyBorder="1" applyAlignment="1" applyProtection="1">
      <alignment horizontal="left" vertical="center"/>
      <protection hidden="1"/>
    </xf>
    <xf numFmtId="0" fontId="19" fillId="2" borderId="10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3" fillId="2" borderId="2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0" fontId="7" fillId="2" borderId="0" xfId="0" applyNumberFormat="1" applyFont="1" applyFill="1" applyBorder="1" applyAlignment="1" applyProtection="1">
      <alignment horizontal="right" vertical="center"/>
      <protection hidden="1"/>
    </xf>
    <xf numFmtId="10" fontId="1" fillId="2" borderId="0" xfId="0" applyNumberFormat="1" applyFont="1" applyFill="1" applyBorder="1" applyAlignment="1" applyProtection="1">
      <alignment horizontal="right"/>
      <protection hidden="1"/>
    </xf>
    <xf numFmtId="10" fontId="1" fillId="2" borderId="24" xfId="0" applyNumberFormat="1" applyFont="1" applyFill="1" applyBorder="1" applyAlignment="1" applyProtection="1">
      <alignment horizontal="right"/>
      <protection hidden="1"/>
    </xf>
    <xf numFmtId="0" fontId="24" fillId="2" borderId="0" xfId="0" applyFont="1" applyFill="1" applyBorder="1" applyProtection="1">
      <protection hidden="1"/>
    </xf>
    <xf numFmtId="10" fontId="24" fillId="2" borderId="0" xfId="0" applyNumberFormat="1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10" fontId="5" fillId="2" borderId="16" xfId="0" applyNumberFormat="1" applyFont="1" applyFill="1" applyBorder="1" applyProtection="1"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10" fontId="7" fillId="2" borderId="0" xfId="0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10" fontId="1" fillId="2" borderId="0" xfId="0" applyNumberFormat="1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10" fontId="1" fillId="2" borderId="16" xfId="0" applyNumberFormat="1" applyFont="1" applyFill="1" applyBorder="1" applyAlignment="1" applyProtection="1">
      <alignment horizontal="right"/>
      <protection hidden="1"/>
    </xf>
    <xf numFmtId="10" fontId="12" fillId="2" borderId="16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0" fontId="1" fillId="2" borderId="0" xfId="0" applyNumberFormat="1" applyFont="1" applyFill="1" applyBorder="1" applyAlignment="1" applyProtection="1">
      <alignment horizontal="left"/>
      <protection hidden="1"/>
    </xf>
    <xf numFmtId="10" fontId="11" fillId="2" borderId="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0" fontId="13" fillId="2" borderId="0" xfId="0" applyNumberFormat="1" applyFont="1" applyFill="1" applyBorder="1" applyAlignment="1" applyProtection="1">
      <alignment horizontal="left"/>
      <protection hidden="1"/>
    </xf>
    <xf numFmtId="10" fontId="13" fillId="2" borderId="0" xfId="0" applyNumberFormat="1" applyFont="1" applyFill="1" applyBorder="1" applyProtection="1">
      <protection hidden="1"/>
    </xf>
    <xf numFmtId="166" fontId="13" fillId="2" borderId="0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protection hidden="1"/>
    </xf>
    <xf numFmtId="0" fontId="9" fillId="2" borderId="0" xfId="0" applyFont="1" applyFill="1" applyAlignment="1" applyProtection="1">
      <alignment vertical="center" wrapText="1"/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0" fontId="1" fillId="2" borderId="16" xfId="0" applyFont="1" applyFill="1" applyBorder="1" applyAlignment="1" applyProtection="1">
      <protection hidden="1"/>
    </xf>
    <xf numFmtId="165" fontId="1" fillId="2" borderId="0" xfId="1" applyNumberFormat="1" applyFont="1" applyFill="1" applyProtection="1">
      <protection hidden="1"/>
    </xf>
    <xf numFmtId="0" fontId="10" fillId="2" borderId="2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165" fontId="1" fillId="2" borderId="2" xfId="1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8" fillId="2" borderId="3" xfId="0" applyFont="1" applyFill="1" applyBorder="1" applyProtection="1">
      <protection hidden="1"/>
    </xf>
    <xf numFmtId="3" fontId="1" fillId="2" borderId="3" xfId="0" applyNumberFormat="1" applyFont="1" applyFill="1" applyBorder="1" applyProtection="1">
      <protection hidden="1"/>
    </xf>
    <xf numFmtId="165" fontId="1" fillId="2" borderId="5" xfId="1" applyNumberFormat="1" applyFont="1" applyFill="1" applyBorder="1" applyProtection="1">
      <protection hidden="1"/>
    </xf>
    <xf numFmtId="3" fontId="1" fillId="2" borderId="4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10" fontId="1" fillId="2" borderId="7" xfId="0" applyNumberFormat="1" applyFont="1" applyFill="1" applyBorder="1" applyProtection="1">
      <protection hidden="1"/>
    </xf>
    <xf numFmtId="10" fontId="1" fillId="2" borderId="5" xfId="1" applyNumberFormat="1" applyFont="1" applyFill="1" applyBorder="1" applyProtection="1">
      <protection hidden="1"/>
    </xf>
    <xf numFmtId="10" fontId="1" fillId="2" borderId="4" xfId="0" applyNumberFormat="1" applyFont="1" applyFill="1" applyBorder="1" applyProtection="1">
      <protection hidden="1"/>
    </xf>
    <xf numFmtId="2" fontId="1" fillId="2" borderId="3" xfId="0" applyNumberFormat="1" applyFont="1" applyFill="1" applyBorder="1" applyProtection="1">
      <protection hidden="1"/>
    </xf>
    <xf numFmtId="2" fontId="1" fillId="2" borderId="5" xfId="1" applyNumberFormat="1" applyFont="1" applyFill="1" applyBorder="1" applyProtection="1">
      <protection hidden="1"/>
    </xf>
    <xf numFmtId="10" fontId="1" fillId="2" borderId="3" xfId="0" applyNumberFormat="1" applyFont="1" applyFill="1" applyBorder="1" applyProtection="1">
      <protection hidden="1"/>
    </xf>
    <xf numFmtId="10" fontId="1" fillId="2" borderId="2" xfId="1" applyNumberFormat="1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5" fontId="1" fillId="2" borderId="8" xfId="1" applyNumberFormat="1" applyFont="1" applyFill="1" applyBorder="1" applyProtection="1">
      <protection hidden="1"/>
    </xf>
    <xf numFmtId="2" fontId="1" fillId="2" borderId="4" xfId="0" applyNumberFormat="1" applyFont="1" applyFill="1" applyBorder="1" applyProtection="1">
      <protection hidden="1"/>
    </xf>
    <xf numFmtId="164" fontId="1" fillId="2" borderId="5" xfId="1" applyNumberFormat="1" applyFont="1" applyFill="1" applyBorder="1" applyProtection="1">
      <protection hidden="1"/>
    </xf>
    <xf numFmtId="164" fontId="1" fillId="2" borderId="2" xfId="1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wrapText="1"/>
      <protection hidden="1"/>
    </xf>
    <xf numFmtId="10" fontId="1" fillId="2" borderId="8" xfId="1" applyNumberFormat="1" applyFont="1" applyFill="1" applyBorder="1" applyProtection="1">
      <protection hidden="1"/>
    </xf>
    <xf numFmtId="164" fontId="1" fillId="2" borderId="8" xfId="1" applyNumberFormat="1" applyFont="1" applyFill="1" applyBorder="1" applyProtection="1"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1" fillId="2" borderId="9" xfId="0" applyFont="1" applyFill="1" applyBorder="1" applyProtection="1">
      <protection hidden="1"/>
    </xf>
    <xf numFmtId="165" fontId="1" fillId="2" borderId="10" xfId="1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wrapText="1"/>
      <protection hidden="1"/>
    </xf>
    <xf numFmtId="10" fontId="1" fillId="2" borderId="4" xfId="0" applyNumberFormat="1" applyFont="1" applyFill="1" applyBorder="1" applyAlignment="1" applyProtection="1">
      <protection hidden="1"/>
    </xf>
    <xf numFmtId="10" fontId="1" fillId="2" borderId="4" xfId="0" applyNumberFormat="1" applyFont="1" applyFill="1" applyBorder="1" applyAlignment="1" applyProtection="1">
      <alignment horizontal="right"/>
      <protection hidden="1"/>
    </xf>
    <xf numFmtId="10" fontId="1" fillId="2" borderId="5" xfId="1" applyNumberFormat="1" applyFont="1" applyFill="1" applyBorder="1" applyAlignment="1" applyProtection="1">
      <alignment horizontal="right"/>
      <protection hidden="1"/>
    </xf>
    <xf numFmtId="0" fontId="5" fillId="2" borderId="14" xfId="0" applyFont="1" applyFill="1" applyBorder="1" applyAlignment="1" applyProtection="1">
      <alignment horizontal="left" wrapText="1"/>
      <protection hidden="1"/>
    </xf>
    <xf numFmtId="0" fontId="1" fillId="2" borderId="4" xfId="0" applyFont="1" applyFill="1" applyBorder="1" applyAlignment="1" applyProtection="1">
      <alignment horizontal="left" wrapText="1" indent="1"/>
      <protection hidden="1"/>
    </xf>
    <xf numFmtId="0" fontId="1" fillId="2" borderId="18" xfId="0" applyFont="1" applyFill="1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165" fontId="1" fillId="2" borderId="0" xfId="1" applyNumberFormat="1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10" fontId="3" fillId="4" borderId="0" xfId="1" applyNumberFormat="1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wrapText="1"/>
      <protection hidden="1"/>
    </xf>
    <xf numFmtId="10" fontId="7" fillId="5" borderId="3" xfId="1" applyNumberFormat="1" applyFont="1" applyFill="1" applyBorder="1" applyAlignment="1" applyProtection="1">
      <alignment horizontal="center"/>
      <protection hidden="1"/>
    </xf>
    <xf numFmtId="10" fontId="7" fillId="2" borderId="3" xfId="0" applyNumberFormat="1" applyFont="1" applyFill="1" applyBorder="1" applyAlignment="1" applyProtection="1">
      <alignment horizontal="center"/>
      <protection hidden="1"/>
    </xf>
    <xf numFmtId="10" fontId="7" fillId="5" borderId="19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7" fillId="2" borderId="14" xfId="0" applyFont="1" applyFill="1" applyBorder="1" applyProtection="1">
      <protection hidden="1"/>
    </xf>
    <xf numFmtId="0" fontId="7" fillId="2" borderId="4" xfId="0" applyFont="1" applyFill="1" applyBorder="1" applyAlignment="1" applyProtection="1">
      <alignment wrapText="1"/>
      <protection hidden="1"/>
    </xf>
    <xf numFmtId="10" fontId="7" fillId="5" borderId="4" xfId="1" applyNumberFormat="1" applyFont="1" applyFill="1" applyBorder="1" applyAlignment="1" applyProtection="1">
      <alignment horizontal="center"/>
      <protection hidden="1"/>
    </xf>
    <xf numFmtId="10" fontId="7" fillId="2" borderId="4" xfId="0" applyNumberFormat="1" applyFont="1" applyFill="1" applyBorder="1" applyAlignment="1" applyProtection="1">
      <alignment horizontal="center"/>
      <protection hidden="1"/>
    </xf>
    <xf numFmtId="10" fontId="7" fillId="5" borderId="20" xfId="0" applyNumberFormat="1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wrapText="1"/>
      <protection hidden="1"/>
    </xf>
    <xf numFmtId="0" fontId="7" fillId="2" borderId="16" xfId="0" applyFont="1" applyFill="1" applyBorder="1" applyAlignment="1" applyProtection="1">
      <alignment wrapText="1"/>
      <protection hidden="1"/>
    </xf>
    <xf numFmtId="165" fontId="7" fillId="2" borderId="16" xfId="1" applyNumberFormat="1" applyFont="1" applyFill="1" applyBorder="1" applyProtection="1">
      <protection hidden="1"/>
    </xf>
    <xf numFmtId="0" fontId="7" fillId="2" borderId="16" xfId="0" applyFont="1" applyFill="1" applyBorder="1" applyProtection="1">
      <protection hidden="1"/>
    </xf>
    <xf numFmtId="0" fontId="7" fillId="2" borderId="10" xfId="0" applyFon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10" fontId="1" fillId="2" borderId="3" xfId="0" applyNumberFormat="1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wrapText="1"/>
      <protection hidden="1"/>
    </xf>
    <xf numFmtId="10" fontId="1" fillId="2" borderId="4" xfId="0" applyNumberFormat="1" applyFont="1" applyFill="1" applyBorder="1" applyAlignment="1" applyProtection="1">
      <alignment horizontal="center"/>
      <protection hidden="1"/>
    </xf>
    <xf numFmtId="165" fontId="1" fillId="2" borderId="16" xfId="1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protection hidden="1"/>
    </xf>
    <xf numFmtId="0" fontId="25" fillId="2" borderId="0" xfId="0" applyFont="1" applyFill="1" applyAlignment="1" applyProtection="1">
      <alignment horizontal="left" vertical="center" wrapText="1" indent="2"/>
      <protection hidden="1"/>
    </xf>
    <xf numFmtId="0" fontId="27" fillId="2" borderId="0" xfId="0" applyFont="1" applyFill="1" applyProtection="1">
      <protection hidden="1"/>
    </xf>
    <xf numFmtId="0" fontId="0" fillId="2" borderId="4" xfId="0" applyFont="1" applyFill="1" applyBorder="1" applyAlignment="1" applyProtection="1">
      <alignment wrapText="1"/>
      <protection hidden="1"/>
    </xf>
    <xf numFmtId="0" fontId="0" fillId="2" borderId="0" xfId="0" applyFont="1" applyFill="1" applyAlignment="1" applyProtection="1">
      <alignment wrapText="1"/>
      <protection hidden="1"/>
    </xf>
    <xf numFmtId="10" fontId="1" fillId="2" borderId="6" xfId="0" applyNumberFormat="1" applyFont="1" applyFill="1" applyBorder="1" applyAlignment="1" applyProtection="1">
      <alignment horizontal="center"/>
      <protection hidden="1"/>
    </xf>
    <xf numFmtId="10" fontId="1" fillId="2" borderId="22" xfId="0" applyNumberFormat="1" applyFont="1" applyFill="1" applyBorder="1" applyAlignment="1" applyProtection="1">
      <alignment horizontal="center"/>
      <protection hidden="1"/>
    </xf>
    <xf numFmtId="168" fontId="7" fillId="2" borderId="0" xfId="0" applyNumberFormat="1" applyFont="1" applyFill="1" applyBorder="1" applyAlignment="1" applyProtection="1">
      <alignment horizontal="left" vertical="center"/>
      <protection hidden="1"/>
    </xf>
    <xf numFmtId="10" fontId="28" fillId="2" borderId="0" xfId="0" applyNumberFormat="1" applyFont="1" applyFill="1" applyBorder="1" applyAlignment="1" applyProtection="1">
      <alignment horizontal="right"/>
      <protection hidden="1"/>
    </xf>
    <xf numFmtId="10" fontId="0" fillId="0" borderId="0" xfId="2" applyNumberFormat="1" applyFont="1" applyBorder="1"/>
    <xf numFmtId="10" fontId="0" fillId="0" borderId="5" xfId="1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Protection="1">
      <protection hidden="1"/>
    </xf>
    <xf numFmtId="3" fontId="1" fillId="2" borderId="0" xfId="1" applyNumberFormat="1" applyFont="1" applyFill="1" applyBorder="1" applyAlignment="1" applyProtection="1">
      <alignment horizontal="right"/>
      <protection hidden="1"/>
    </xf>
    <xf numFmtId="10" fontId="1" fillId="2" borderId="26" xfId="1" applyNumberFormat="1" applyFont="1" applyFill="1" applyBorder="1" applyProtection="1">
      <protection hidden="1"/>
    </xf>
    <xf numFmtId="10" fontId="1" fillId="2" borderId="25" xfId="1" applyNumberFormat="1" applyFont="1" applyFill="1" applyBorder="1" applyProtection="1">
      <protection hidden="1"/>
    </xf>
    <xf numFmtId="2" fontId="1" fillId="2" borderId="25" xfId="1" applyNumberFormat="1" applyFont="1" applyFill="1" applyBorder="1" applyProtection="1">
      <protection hidden="1"/>
    </xf>
    <xf numFmtId="10" fontId="1" fillId="2" borderId="0" xfId="1" applyNumberFormat="1" applyFont="1" applyFill="1" applyBorder="1" applyProtection="1">
      <protection hidden="1"/>
    </xf>
    <xf numFmtId="165" fontId="1" fillId="2" borderId="27" xfId="1" applyNumberFormat="1" applyFont="1" applyFill="1" applyBorder="1" applyProtection="1">
      <protection hidden="1"/>
    </xf>
    <xf numFmtId="164" fontId="1" fillId="2" borderId="25" xfId="1" applyNumberFormat="1" applyFont="1" applyFill="1" applyBorder="1" applyProtection="1">
      <protection hidden="1"/>
    </xf>
    <xf numFmtId="164" fontId="1" fillId="2" borderId="0" xfId="1" applyNumberFormat="1" applyFont="1" applyFill="1" applyBorder="1" applyProtection="1">
      <protection hidden="1"/>
    </xf>
    <xf numFmtId="10" fontId="1" fillId="2" borderId="27" xfId="1" applyNumberFormat="1" applyFont="1" applyFill="1" applyBorder="1" applyProtection="1">
      <protection hidden="1"/>
    </xf>
    <xf numFmtId="165" fontId="1" fillId="2" borderId="25" xfId="1" applyNumberFormat="1" applyFont="1" applyFill="1" applyBorder="1" applyProtection="1">
      <protection hidden="1"/>
    </xf>
    <xf numFmtId="164" fontId="1" fillId="2" borderId="27" xfId="1" applyNumberFormat="1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 indent="1"/>
      <protection hidden="1"/>
    </xf>
    <xf numFmtId="10" fontId="1" fillId="2" borderId="25" xfId="1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10" fontId="0" fillId="2" borderId="2" xfId="0" applyNumberFormat="1" applyFont="1" applyFill="1" applyBorder="1" applyAlignment="1" applyProtection="1">
      <alignment horizontal="center"/>
      <protection hidden="1"/>
    </xf>
    <xf numFmtId="10" fontId="0" fillId="2" borderId="8" xfId="0" applyNumberFormat="1" applyFont="1" applyFill="1" applyBorder="1" applyAlignment="1" applyProtection="1">
      <alignment horizontal="center"/>
      <protection hidden="1"/>
    </xf>
    <xf numFmtId="10" fontId="0" fillId="2" borderId="5" xfId="0" applyNumberFormat="1" applyFont="1" applyFill="1" applyBorder="1" applyAlignment="1" applyProtection="1">
      <alignment horizontal="center"/>
      <protection hidden="1"/>
    </xf>
    <xf numFmtId="10" fontId="1" fillId="2" borderId="26" xfId="0" applyNumberFormat="1" applyFont="1" applyFill="1" applyBorder="1" applyAlignment="1" applyProtection="1">
      <alignment horizontal="center"/>
      <protection hidden="1"/>
    </xf>
    <xf numFmtId="10" fontId="1" fillId="2" borderId="0" xfId="0" applyNumberFormat="1" applyFont="1" applyFill="1" applyBorder="1" applyAlignment="1" applyProtection="1">
      <alignment horizontal="center"/>
      <protection hidden="1"/>
    </xf>
    <xf numFmtId="10" fontId="1" fillId="2" borderId="27" xfId="0" applyNumberFormat="1" applyFont="1" applyFill="1" applyBorder="1" applyAlignment="1" applyProtection="1">
      <alignment horizontal="center"/>
      <protection hidden="1"/>
    </xf>
    <xf numFmtId="10" fontId="1" fillId="2" borderId="25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/>
    <xf numFmtId="0" fontId="1" fillId="2" borderId="14" xfId="0" applyFont="1" applyFill="1" applyBorder="1"/>
    <xf numFmtId="0" fontId="0" fillId="2" borderId="14" xfId="0" applyFont="1" applyFill="1" applyBorder="1"/>
    <xf numFmtId="10" fontId="1" fillId="0" borderId="8" xfId="1" applyNumberFormat="1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10" fontId="11" fillId="2" borderId="0" xfId="0" applyNumberFormat="1" applyFont="1" applyFill="1" applyBorder="1" applyAlignment="1" applyProtection="1">
      <alignment horizontal="left"/>
      <protection hidden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7" borderId="0" xfId="0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0" fontId="0" fillId="0" borderId="0" xfId="2" applyNumberFormat="1" applyFont="1"/>
    <xf numFmtId="169" fontId="0" fillId="0" borderId="0" xfId="1" applyNumberFormat="1" applyFont="1"/>
    <xf numFmtId="9" fontId="1" fillId="2" borderId="8" xfId="2" applyFont="1" applyFill="1" applyBorder="1" applyProtection="1">
      <protection hidden="1"/>
    </xf>
    <xf numFmtId="2" fontId="1" fillId="2" borderId="8" xfId="1" applyNumberFormat="1" applyFont="1" applyFill="1" applyBorder="1" applyProtection="1">
      <protection hidden="1"/>
    </xf>
    <xf numFmtId="164" fontId="1" fillId="2" borderId="8" xfId="1" applyFont="1" applyFill="1" applyBorder="1" applyProtection="1">
      <protection hidden="1"/>
    </xf>
    <xf numFmtId="43" fontId="1" fillId="2" borderId="8" xfId="1" applyNumberFormat="1" applyFont="1" applyFill="1" applyBorder="1" applyProtection="1">
      <protection hidden="1"/>
    </xf>
    <xf numFmtId="3" fontId="1" fillId="2" borderId="8" xfId="2" applyNumberFormat="1" applyFont="1" applyFill="1" applyBorder="1" applyProtection="1">
      <protection hidden="1"/>
    </xf>
    <xf numFmtId="3" fontId="1" fillId="2" borderId="8" xfId="1" applyNumberFormat="1" applyFont="1" applyFill="1" applyBorder="1" applyProtection="1">
      <protection hidden="1"/>
    </xf>
    <xf numFmtId="0" fontId="5" fillId="2" borderId="6" xfId="1" applyNumberFormat="1" applyFont="1" applyFill="1" applyBorder="1" applyAlignment="1" applyProtection="1">
      <alignment horizontal="right"/>
      <protection hidden="1"/>
    </xf>
    <xf numFmtId="0" fontId="8" fillId="2" borderId="3" xfId="0" applyNumberFormat="1" applyFont="1" applyFill="1" applyBorder="1" applyAlignment="1" applyProtection="1">
      <protection hidden="1"/>
    </xf>
    <xf numFmtId="0" fontId="5" fillId="2" borderId="2" xfId="2" applyNumberFormat="1" applyFont="1" applyFill="1" applyBorder="1" applyProtection="1">
      <protection hidden="1"/>
    </xf>
    <xf numFmtId="10" fontId="1" fillId="2" borderId="8" xfId="2" applyNumberFormat="1" applyFont="1" applyFill="1" applyBorder="1" applyProtection="1">
      <protection hidden="1"/>
    </xf>
    <xf numFmtId="10" fontId="0" fillId="9" borderId="36" xfId="2" applyNumberFormat="1" applyFont="1" applyFill="1" applyBorder="1"/>
    <xf numFmtId="10" fontId="0" fillId="9" borderId="37" xfId="2" applyNumberFormat="1" applyFont="1" applyFill="1" applyBorder="1"/>
    <xf numFmtId="0" fontId="3" fillId="8" borderId="38" xfId="0" applyFont="1" applyFill="1" applyBorder="1"/>
    <xf numFmtId="0" fontId="3" fillId="8" borderId="39" xfId="0" applyFont="1" applyFill="1" applyBorder="1"/>
    <xf numFmtId="0" fontId="3" fillId="8" borderId="40" xfId="0" applyFont="1" applyFill="1" applyBorder="1"/>
    <xf numFmtId="10" fontId="1" fillId="0" borderId="0" xfId="1" applyNumberFormat="1" applyFont="1" applyFill="1" applyBorder="1" applyProtection="1">
      <protection hidden="1"/>
    </xf>
    <xf numFmtId="165" fontId="1" fillId="0" borderId="0" xfId="1" applyNumberFormat="1" applyFont="1" applyFill="1" applyBorder="1" applyProtection="1">
      <protection hidden="1"/>
    </xf>
    <xf numFmtId="164" fontId="1" fillId="0" borderId="0" xfId="1" applyNumberFormat="1" applyFont="1" applyFill="1" applyBorder="1" applyProtection="1">
      <protection hidden="1"/>
    </xf>
    <xf numFmtId="0" fontId="3" fillId="8" borderId="0" xfId="0" applyFont="1" applyFill="1" applyBorder="1"/>
    <xf numFmtId="10" fontId="0" fillId="9" borderId="0" xfId="2" applyNumberFormat="1" applyFont="1" applyFill="1" applyBorder="1"/>
    <xf numFmtId="10" fontId="1" fillId="0" borderId="0" xfId="2" applyNumberFormat="1" applyFont="1" applyFill="1" applyBorder="1" applyProtection="1">
      <protection hidden="1"/>
    </xf>
    <xf numFmtId="0" fontId="0" fillId="0" borderId="0" xfId="0" applyBorder="1"/>
    <xf numFmtId="2" fontId="1" fillId="0" borderId="0" xfId="1" applyNumberFormat="1" applyFont="1" applyFill="1" applyBorder="1" applyProtection="1">
      <protection hidden="1"/>
    </xf>
    <xf numFmtId="43" fontId="1" fillId="0" borderId="0" xfId="1" applyNumberFormat="1" applyFont="1" applyFill="1" applyBorder="1" applyProtection="1">
      <protection hidden="1"/>
    </xf>
    <xf numFmtId="0" fontId="0" fillId="9" borderId="41" xfId="0" applyFont="1" applyFill="1" applyBorder="1"/>
    <xf numFmtId="10" fontId="0" fillId="9" borderId="41" xfId="2" applyNumberFormat="1" applyFont="1" applyFill="1" applyBorder="1"/>
    <xf numFmtId="10" fontId="0" fillId="9" borderId="41" xfId="1" applyNumberFormat="1" applyFont="1" applyFill="1" applyBorder="1"/>
    <xf numFmtId="0" fontId="0" fillId="0" borderId="41" xfId="0" applyFont="1" applyBorder="1"/>
    <xf numFmtId="10" fontId="0" fillId="0" borderId="41" xfId="1" applyNumberFormat="1" applyFont="1" applyBorder="1"/>
    <xf numFmtId="2" fontId="0" fillId="0" borderId="41" xfId="1" applyNumberFormat="1" applyFont="1" applyBorder="1"/>
    <xf numFmtId="165" fontId="0" fillId="0" borderId="41" xfId="1" applyNumberFormat="1" applyFont="1" applyBorder="1"/>
    <xf numFmtId="164" fontId="0" fillId="9" borderId="41" xfId="1" applyNumberFormat="1" applyFont="1" applyFill="1" applyBorder="1"/>
    <xf numFmtId="164" fontId="0" fillId="0" borderId="41" xfId="1" applyNumberFormat="1" applyFont="1" applyBorder="1"/>
    <xf numFmtId="0" fontId="7" fillId="2" borderId="0" xfId="0" applyFont="1" applyFill="1" applyProtection="1">
      <protection hidden="1"/>
    </xf>
    <xf numFmtId="10" fontId="7" fillId="2" borderId="0" xfId="0" applyNumberFormat="1" applyFont="1" applyFill="1" applyBorder="1" applyAlignment="1" applyProtection="1">
      <alignment horizontal="left"/>
      <protection hidden="1"/>
    </xf>
    <xf numFmtId="0" fontId="7" fillId="2" borderId="2" xfId="0" applyFont="1" applyFill="1" applyBorder="1" applyProtection="1">
      <protection hidden="1"/>
    </xf>
    <xf numFmtId="10" fontId="29" fillId="2" borderId="0" xfId="0" applyNumberFormat="1" applyFont="1" applyFill="1" applyBorder="1" applyAlignment="1" applyProtection="1">
      <alignment horizontal="left"/>
      <protection hidden="1"/>
    </xf>
    <xf numFmtId="10" fontId="29" fillId="2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2" borderId="0" xfId="0" quotePrefix="1" applyFont="1" applyFill="1" applyBorder="1" applyProtection="1">
      <protection hidden="1"/>
    </xf>
    <xf numFmtId="166" fontId="29" fillId="2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10" fontId="7" fillId="2" borderId="16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1" fillId="0" borderId="0" xfId="0" applyFont="1" applyAlignment="1" applyProtection="1">
      <alignment vertical="center"/>
      <protection hidden="1"/>
    </xf>
    <xf numFmtId="0" fontId="30" fillId="4" borderId="0" xfId="0" applyFont="1" applyFill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horizontal="left"/>
      <protection hidden="1"/>
    </xf>
    <xf numFmtId="0" fontId="31" fillId="2" borderId="0" xfId="0" applyFont="1" applyFill="1" applyBorder="1" applyProtection="1">
      <protection hidden="1"/>
    </xf>
    <xf numFmtId="10" fontId="31" fillId="2" borderId="0" xfId="0" applyNumberFormat="1" applyFont="1" applyFill="1" applyBorder="1" applyProtection="1">
      <protection hidden="1"/>
    </xf>
    <xf numFmtId="0" fontId="32" fillId="4" borderId="1" xfId="0" applyFont="1" applyFill="1" applyBorder="1" applyProtection="1">
      <protection hidden="1"/>
    </xf>
    <xf numFmtId="10" fontId="32" fillId="4" borderId="0" xfId="0" applyNumberFormat="1" applyFont="1" applyFill="1" applyBorder="1" applyAlignment="1" applyProtection="1">
      <alignment horizontal="center"/>
      <protection hidden="1"/>
    </xf>
    <xf numFmtId="10" fontId="32" fillId="4" borderId="2" xfId="0" applyNumberFormat="1" applyFont="1" applyFill="1" applyBorder="1" applyAlignment="1" applyProtection="1">
      <alignment horizontal="center"/>
      <protection hidden="1"/>
    </xf>
    <xf numFmtId="0" fontId="33" fillId="4" borderId="0" xfId="0" applyFont="1" applyFill="1" applyBorder="1" applyProtection="1">
      <protection hidden="1"/>
    </xf>
    <xf numFmtId="10" fontId="32" fillId="4" borderId="0" xfId="1" applyNumberFormat="1" applyFont="1" applyFill="1" applyBorder="1" applyAlignment="1" applyProtection="1">
      <alignment horizontal="center"/>
      <protection hidden="1"/>
    </xf>
    <xf numFmtId="0" fontId="34" fillId="2" borderId="0" xfId="0" applyFont="1" applyFill="1" applyProtection="1">
      <protection hidden="1"/>
    </xf>
    <xf numFmtId="0" fontId="32" fillId="4" borderId="21" xfId="0" applyFont="1" applyFill="1" applyBorder="1" applyProtection="1">
      <protection hidden="1"/>
    </xf>
    <xf numFmtId="49" fontId="32" fillId="4" borderId="0" xfId="1" applyNumberFormat="1" applyFont="1" applyFill="1" applyBorder="1" applyAlignment="1" applyProtection="1">
      <alignment horizontal="center"/>
      <protection hidden="1"/>
    </xf>
    <xf numFmtId="49" fontId="32" fillId="4" borderId="0" xfId="0" applyNumberFormat="1" applyFont="1" applyFill="1" applyBorder="1" applyAlignment="1" applyProtection="1">
      <alignment horizontal="center"/>
      <protection hidden="1"/>
    </xf>
    <xf numFmtId="49" fontId="32" fillId="4" borderId="2" xfId="0" applyNumberFormat="1" applyFont="1" applyFill="1" applyBorder="1" applyAlignment="1" applyProtection="1">
      <alignment horizontal="center"/>
      <protection hidden="1"/>
    </xf>
    <xf numFmtId="0" fontId="35" fillId="2" borderId="0" xfId="0" applyFont="1" applyFill="1" applyBorder="1" applyProtection="1">
      <protection hidden="1"/>
    </xf>
    <xf numFmtId="0" fontId="30" fillId="4" borderId="0" xfId="0" applyFont="1" applyFill="1" applyAlignment="1" applyProtection="1">
      <alignment horizontal="left" vertical="center"/>
      <protection hidden="1"/>
    </xf>
    <xf numFmtId="0" fontId="32" fillId="3" borderId="0" xfId="0" applyFont="1" applyFill="1" applyBorder="1" applyAlignment="1" applyProtection="1">
      <alignment horizontal="left" vertical="center"/>
      <protection hidden="1"/>
    </xf>
    <xf numFmtId="0" fontId="32" fillId="3" borderId="2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1" fillId="6" borderId="0" xfId="0" applyFont="1" applyFill="1" applyBorder="1" applyAlignment="1" applyProtection="1">
      <alignment horizontal="left"/>
      <protection locked="0" hidden="1"/>
    </xf>
    <xf numFmtId="0" fontId="31" fillId="2" borderId="0" xfId="0" applyFont="1" applyFill="1" applyBorder="1" applyAlignment="1" applyProtection="1">
      <alignment horizontal="left" wrapText="1"/>
      <protection hidden="1"/>
    </xf>
    <xf numFmtId="0" fontId="32" fillId="3" borderId="11" xfId="0" applyFont="1" applyFill="1" applyBorder="1" applyAlignment="1" applyProtection="1">
      <alignment horizontal="left" vertical="center"/>
      <protection hidden="1"/>
    </xf>
    <xf numFmtId="0" fontId="32" fillId="3" borderId="12" xfId="0" applyFont="1" applyFill="1" applyBorder="1" applyAlignment="1" applyProtection="1">
      <alignment horizontal="left" vertical="center"/>
      <protection hidden="1"/>
    </xf>
    <xf numFmtId="0" fontId="32" fillId="3" borderId="13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Border="1" applyAlignment="1" applyProtection="1">
      <alignment horizontal="left"/>
      <protection hidden="1"/>
    </xf>
    <xf numFmtId="0" fontId="35" fillId="2" borderId="2" xfId="0" applyFont="1" applyFill="1" applyBorder="1" applyAlignment="1" applyProtection="1">
      <alignment horizontal="left"/>
      <protection hidden="1"/>
    </xf>
    <xf numFmtId="10" fontId="35" fillId="2" borderId="0" xfId="0" applyNumberFormat="1" applyFont="1" applyFill="1" applyBorder="1" applyAlignment="1" applyProtection="1">
      <alignment horizontal="left"/>
      <protection hidden="1"/>
    </xf>
    <xf numFmtId="10" fontId="35" fillId="2" borderId="2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 horizontal="left" indent="3"/>
      <protection hidden="1"/>
    </xf>
    <xf numFmtId="0" fontId="35" fillId="2" borderId="2" xfId="0" applyFont="1" applyFill="1" applyBorder="1" applyAlignment="1" applyProtection="1">
      <alignment horizontal="left" indent="3"/>
      <protection hidden="1"/>
    </xf>
    <xf numFmtId="0" fontId="32" fillId="3" borderId="11" xfId="0" applyFont="1" applyFill="1" applyBorder="1" applyAlignment="1" applyProtection="1">
      <alignment horizontal="left" vertical="center" wrapText="1"/>
      <protection hidden="1"/>
    </xf>
    <xf numFmtId="0" fontId="32" fillId="3" borderId="12" xfId="0" applyFont="1" applyFill="1" applyBorder="1" applyAlignment="1" applyProtection="1">
      <alignment horizontal="left" vertical="center" wrapText="1"/>
      <protection hidden="1"/>
    </xf>
    <xf numFmtId="0" fontId="32" fillId="3" borderId="13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0" fontId="6" fillId="3" borderId="2" xfId="0" applyFont="1" applyFill="1" applyBorder="1" applyAlignment="1" applyProtection="1">
      <alignment horizontal="left" vertical="center" wrapText="1"/>
      <protection hidden="1"/>
    </xf>
    <xf numFmtId="0" fontId="32" fillId="3" borderId="1" xfId="0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 applyProtection="1">
      <alignment horizontal="left" wrapText="1" indent="1"/>
      <protection hidden="1"/>
    </xf>
    <xf numFmtId="0" fontId="1" fillId="2" borderId="7" xfId="0" applyFont="1" applyFill="1" applyBorder="1" applyAlignment="1" applyProtection="1">
      <alignment horizontal="left" wrapText="1" indent="1"/>
      <protection hidden="1"/>
    </xf>
    <xf numFmtId="0" fontId="5" fillId="2" borderId="14" xfId="0" applyFont="1" applyFill="1" applyBorder="1" applyAlignment="1" applyProtection="1">
      <alignment horizontal="left" wrapText="1"/>
      <protection hidden="1"/>
    </xf>
    <xf numFmtId="0" fontId="5" fillId="2" borderId="4" xfId="0" applyFont="1" applyFill="1" applyBorder="1" applyAlignment="1" applyProtection="1">
      <alignment horizontal="left" wrapText="1"/>
      <protection hidden="1"/>
    </xf>
    <xf numFmtId="0" fontId="1" fillId="2" borderId="4" xfId="0" applyFont="1" applyFill="1" applyBorder="1" applyAlignment="1" applyProtection="1">
      <alignment horizontal="left" wrapText="1" inden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1" fillId="2" borderId="4" xfId="0" applyFont="1" applyFill="1" applyBorder="1" applyAlignment="1" applyProtection="1">
      <alignment horizontal="left" wrapText="1"/>
      <protection hidden="1"/>
    </xf>
    <xf numFmtId="0" fontId="30" fillId="4" borderId="0" xfId="0" applyFont="1" applyFill="1" applyAlignment="1" applyProtection="1">
      <alignment horizontal="left" vertical="center" wrapText="1"/>
      <protection hidden="1"/>
    </xf>
    <xf numFmtId="0" fontId="1" fillId="2" borderId="14" xfId="0" applyFont="1" applyFill="1" applyBorder="1" applyAlignment="1" applyProtection="1">
      <alignment horizontal="left" wrapText="1" indent="1"/>
      <protection hidden="1"/>
    </xf>
    <xf numFmtId="0" fontId="32" fillId="4" borderId="1" xfId="0" applyFont="1" applyFill="1" applyBorder="1" applyAlignment="1" applyProtection="1">
      <alignment horizontal="left" wrapText="1"/>
      <protection hidden="1"/>
    </xf>
    <xf numFmtId="0" fontId="32" fillId="4" borderId="0" xfId="0" applyFont="1" applyFill="1" applyBorder="1" applyAlignment="1" applyProtection="1">
      <alignment horizontal="left" wrapText="1"/>
      <protection hidden="1"/>
    </xf>
    <xf numFmtId="0" fontId="32" fillId="4" borderId="2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1" fillId="2" borderId="3" xfId="0" applyFont="1" applyFill="1" applyBorder="1" applyAlignment="1" applyProtection="1">
      <alignment horizontal="left" wrapText="1"/>
      <protection hidden="1"/>
    </xf>
    <xf numFmtId="0" fontId="1" fillId="2" borderId="4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Procent" xfId="2" builtinId="5"/>
    <cellStyle name="Standaard" xfId="0" builtinId="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5" formatCode="_ * #,##0.00_ ;_ * \-#,##0.00_ ;_ * &quot;-&quot;??_ ;_ @_ "/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auto="1"/>
        </patternFill>
      </fill>
      <protection locked="1" hidden="1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colors>
    <mruColors>
      <color rgb="FF0033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3533775</xdr:colOff>
      <xdr:row>0</xdr:row>
      <xdr:rowOff>38100</xdr:rowOff>
    </xdr:from>
    <xdr:to>
      <xdr:col>1</xdr:col>
      <xdr:colOff>5438140</xdr:colOff>
      <xdr:row>0</xdr:row>
      <xdr:rowOff>321945</xdr:rowOff>
    </xdr:to>
    <xdr:pic>
      <xdr:nvPicPr>
        <xdr:cNvPr id="4" name="LogoFP" descr="M:\Mazars\Templates\mph\IniFiles\Systeem\Mazars-53mm-300dpi.jpg"/>
        <xdr:cNvPicPr/>
      </xdr:nvPicPr>
      <xdr:blipFill>
        <a:blip xmlns:r="http://schemas.openxmlformats.org/officeDocument/2006/relationships" r:embed="rId1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38100"/>
          <a:ext cx="1904365" cy="283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38100</xdr:rowOff>
    </xdr:from>
    <xdr:to>
      <xdr:col>9</xdr:col>
      <xdr:colOff>885190</xdr:colOff>
      <xdr:row>0</xdr:row>
      <xdr:rowOff>321945</xdr:rowOff>
    </xdr:to>
    <xdr:pic>
      <xdr:nvPicPr>
        <xdr:cNvPr id="4" name="LogoFP" descr="M:\Mazars\Templates\mph\IniFiles\Systeem\Mazars-53mm-300dpi.jpg"/>
        <xdr:cNvPicPr/>
      </xdr:nvPicPr>
      <xdr:blipFill>
        <a:blip xmlns:r="http://schemas.openxmlformats.org/officeDocument/2006/relationships" r:embed="rId1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8100"/>
          <a:ext cx="1904365" cy="283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0</xdr:row>
      <xdr:rowOff>38100</xdr:rowOff>
    </xdr:from>
    <xdr:to>
      <xdr:col>5</xdr:col>
      <xdr:colOff>256540</xdr:colOff>
      <xdr:row>0</xdr:row>
      <xdr:rowOff>321945</xdr:rowOff>
    </xdr:to>
    <xdr:pic>
      <xdr:nvPicPr>
        <xdr:cNvPr id="3" name="LogoFP" descr="M:\Mazars\Templates\mph\IniFiles\Systeem\Mazars-53mm-300dpi.jpg"/>
        <xdr:cNvPicPr/>
      </xdr:nvPicPr>
      <xdr:blipFill>
        <a:blip xmlns:r="http://schemas.openxmlformats.org/officeDocument/2006/relationships" r:embed="rId1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8100"/>
          <a:ext cx="1904365" cy="283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1466850</xdr:colOff>
      <xdr:row>0</xdr:row>
      <xdr:rowOff>19050</xdr:rowOff>
    </xdr:from>
    <xdr:to>
      <xdr:col>6</xdr:col>
      <xdr:colOff>1467398</xdr:colOff>
      <xdr:row>0</xdr:row>
      <xdr:rowOff>180975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82" b="29114"/>
        <a:stretch/>
      </xdr:blipFill>
      <xdr:spPr>
        <a:xfrm>
          <a:off x="6467475" y="19050"/>
          <a:ext cx="1332952" cy="295275"/>
        </a:xfrm>
        <a:prstGeom prst="rect">
          <a:avLst/>
        </a:prstGeom>
      </xdr:spPr>
    </xdr:pic>
    <xdr:clientData/>
  </xdr:twoCellAnchor>
  <xdr:twoCellAnchor editAs="oneCell">
    <xdr:from>
      <xdr:col>6</xdr:col>
      <xdr:colOff>1771650</xdr:colOff>
      <xdr:row>0</xdr:row>
      <xdr:rowOff>28575</xdr:rowOff>
    </xdr:from>
    <xdr:to>
      <xdr:col>6</xdr:col>
      <xdr:colOff>3676015</xdr:colOff>
      <xdr:row>0</xdr:row>
      <xdr:rowOff>312420</xdr:rowOff>
    </xdr:to>
    <xdr:pic>
      <xdr:nvPicPr>
        <xdr:cNvPr id="5" name="LogoFP" descr="M:\Mazars\Templates\mph\IniFiles\Systeem\Mazars-53mm-300dpi.jpg"/>
        <xdr:cNvPicPr/>
      </xdr:nvPicPr>
      <xdr:blipFill>
        <a:blip xmlns:r="http://schemas.openxmlformats.org/officeDocument/2006/relationships" r:embed="rId2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8575"/>
          <a:ext cx="1904365" cy="283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28575</xdr:rowOff>
    </xdr:from>
    <xdr:to>
      <xdr:col>5</xdr:col>
      <xdr:colOff>818515</xdr:colOff>
      <xdr:row>0</xdr:row>
      <xdr:rowOff>312420</xdr:rowOff>
    </xdr:to>
    <xdr:pic>
      <xdr:nvPicPr>
        <xdr:cNvPr id="3" name="LogoFP" descr="M:\Mazars\Templates\mph\IniFiles\Systeem\Mazars-53mm-300dpi.jpg"/>
        <xdr:cNvPicPr/>
      </xdr:nvPicPr>
      <xdr:blipFill>
        <a:blip xmlns:r="http://schemas.openxmlformats.org/officeDocument/2006/relationships" r:embed="rId1" cstate="print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8575"/>
          <a:ext cx="1904365" cy="283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Start_onderneming" displayName="Start_onderneming" ref="A9:A17" totalsRowShown="0">
  <autoFilter ref="A9:A17"/>
  <tableColumns count="1">
    <tableColumn id="1" name="Dropdown t.b.v. start onderneming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Premies_sectorfonds" displayName="Premies_sectorfonds" ref="A38:N122" totalsRowShown="0">
  <autoFilter ref="A38:N122"/>
  <tableColumns count="14">
    <tableColumn id="1" name="Sectoren code"/>
    <tableColumn id="2" name="Sectoren naam"/>
    <tableColumn id="3" name="2015" dataDxfId="76"/>
    <tableColumn id="4" name="2016" dataDxfId="75"/>
    <tableColumn id="5" name="2017" dataDxfId="74"/>
    <tableColumn id="6" name="2018" dataDxfId="73"/>
    <tableColumn id="7" name="2019" dataDxfId="72"/>
    <tableColumn id="8" name="2020" dataDxfId="71"/>
    <tableColumn id="9" name="2021" dataDxfId="70"/>
    <tableColumn id="10" name="2022" dataDxfId="69"/>
    <tableColumn id="11" name="2023" dataDxfId="68"/>
    <tableColumn id="12" name="2024" dataDxfId="67"/>
    <tableColumn id="13" name="2025" dataDxfId="66"/>
    <tableColumn id="14" name="2026" dataDxfId="6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Jaartal_kolomindex" displayName="Jaartal_kolomindex" ref="E1:F13" totalsRowShown="0">
  <autoFilter ref="E1:F13"/>
  <tableColumns count="2">
    <tableColumn id="1" name="Jaartal">
      <calculatedColumnFormula>+E1+1</calculatedColumnFormula>
    </tableColumn>
    <tableColumn id="2" name="Kolomindex nr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Grens_klein_middel_groot" displayName="Grens_klein_middel_groot" ref="A20:D24" totalsRowShown="0" dataDxfId="64">
  <autoFilter ref="A20:D24"/>
  <tableColumns count="4">
    <tableColumn id="1" name="Jaartal"/>
    <tableColumn id="2" name="Gemiddelde loonsom" dataDxfId="63"/>
    <tableColumn id="3" name="Grens klein/middel" dataDxfId="62">
      <calculatedColumnFormula>+B21*10</calculatedColumnFormula>
    </tableColumn>
    <tableColumn id="4" name="Grens middel/groot" dataDxfId="61">
      <calculatedColumnFormula>+B21*100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Premies_werknemersverzekeringen" displayName="Premies_werknemersverzekeringen" ref="A27:N32" totalsRowShown="0" dataDxfId="60">
  <autoFilter ref="A27:N32"/>
  <tableColumns count="14">
    <tableColumn id="1" name="Premies werknemersverzekeringen"/>
    <tableColumn id="14" name="Tussenkolom"/>
    <tableColumn id="2" name="2015" dataDxfId="59"/>
    <tableColumn id="3" name="2016" dataDxfId="58"/>
    <tableColumn id="4" name="2017" dataDxfId="57"/>
    <tableColumn id="5" name="2018" dataDxfId="56"/>
    <tableColumn id="6" name="2019" dataDxfId="55"/>
    <tableColumn id="7" name="2020" dataDxfId="54"/>
    <tableColumn id="8" name="2021" dataDxfId="53"/>
    <tableColumn id="9" name="2022" dataDxfId="52"/>
    <tableColumn id="10" name="2023" dataDxfId="51"/>
    <tableColumn id="11" name="2024" dataDxfId="50"/>
    <tableColumn id="12" name="2025" dataDxfId="49"/>
    <tableColumn id="13" name="2026" dataDxfId="4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ZW_flex_premies" displayName="ZW_flex_premies" ref="A196:N263" totalsRowShown="0" dataDxfId="47">
  <autoFilter ref="A196:N263"/>
  <tableColumns count="14">
    <tableColumn id="1" name="Sectoren code"/>
    <tableColumn id="2" name="Sectoren naam"/>
    <tableColumn id="3" name="2015" dataDxfId="46"/>
    <tableColumn id="4" name="2016" dataDxfId="45"/>
    <tableColumn id="5" name="2017" dataDxfId="44"/>
    <tableColumn id="6" name="2018" dataDxfId="43"/>
    <tableColumn id="7" name="2019" dataDxfId="42"/>
    <tableColumn id="8" name="2020" dataDxfId="41"/>
    <tableColumn id="9" name="2021" dataDxfId="40"/>
    <tableColumn id="10" name="2022" dataDxfId="39"/>
    <tableColumn id="11" name="2023" dataDxfId="38"/>
    <tableColumn id="12" name="2024" dataDxfId="37"/>
    <tableColumn id="13" name="2025" dataDxfId="36"/>
    <tableColumn id="14" name="2026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WGA_totaal_premies" displayName="WGA_totaal_premies" ref="A125:N192" totalsRowShown="0" dataDxfId="34">
  <autoFilter ref="A125:N192"/>
  <tableColumns count="14">
    <tableColumn id="1" name="Sectoren code"/>
    <tableColumn id="2" name="Sectoren naam"/>
    <tableColumn id="3" name="2015" dataDxfId="33"/>
    <tableColumn id="4" name="2016" dataDxfId="32"/>
    <tableColumn id="5" name="2017" dataDxfId="31"/>
    <tableColumn id="6" name="2018" dataDxfId="30"/>
    <tableColumn id="7" name="2019" dataDxfId="29"/>
    <tableColumn id="8" name="2020" dataDxfId="28"/>
    <tableColumn id="9" name="2021" dataDxfId="27"/>
    <tableColumn id="10" name="2022" dataDxfId="26"/>
    <tableColumn id="11" name="2023" dataDxfId="25"/>
    <tableColumn id="12" name="2024" dataDxfId="24"/>
    <tableColumn id="13" name="2025" dataDxfId="23"/>
    <tableColumn id="14" name="2026" dataDxfId="2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WGA_jaar_info" displayName="WGA_jaar_info" ref="A267:N279" totalsRowShown="0" headerRowDxfId="21" headerRowBorderDxfId="20" tableBorderDxfId="19">
  <autoFilter ref="A267:N279"/>
  <tableColumns count="14">
    <tableColumn id="1" name="Onderdeel"/>
    <tableColumn id="2" name="Tussenkolom"/>
    <tableColumn id="3" name="2015"/>
    <tableColumn id="4" name="2016"/>
    <tableColumn id="5" name="2017" dataDxfId="18"/>
    <tableColumn id="6" name="2018" dataDxfId="17"/>
    <tableColumn id="7" name="2019"/>
    <tableColumn id="8" name="2020"/>
    <tableColumn id="9" name="2021"/>
    <tableColumn id="10" name="2022"/>
    <tableColumn id="11" name="2023"/>
    <tableColumn id="12" name="2024"/>
    <tableColumn id="13" name="2025"/>
    <tableColumn id="14" name="20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ZW_jaar_info" displayName="ZW_jaar_info" ref="A283:N296" totalsRowShown="0" headerRowDxfId="16" dataDxfId="15" tableBorderDxfId="14">
  <autoFilter ref="A283:N296"/>
  <tableColumns count="14">
    <tableColumn id="1" name="Onderdeel" dataDxfId="13"/>
    <tableColumn id="2" name="Tussenkolom" dataDxfId="12"/>
    <tableColumn id="3" name="2015" dataDxfId="11"/>
    <tableColumn id="4" name="2016" dataDxfId="10"/>
    <tableColumn id="5" name="2017" dataDxfId="9"/>
    <tableColumn id="6" name="2018" dataDxfId="8"/>
    <tableColumn id="7" name="2019" dataDxfId="7"/>
    <tableColumn id="8" name="2020" dataDxfId="6"/>
    <tableColumn id="9" name="2021" dataDxfId="5"/>
    <tableColumn id="10" name="2022" dataDxfId="4"/>
    <tableColumn id="11" name="2023" dataDxfId="3"/>
    <tableColumn id="12" name="2024" dataDxfId="2"/>
    <tableColumn id="13" name="2025" dataDxfId="1"/>
    <tableColumn id="14" name="202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22"/>
  <sheetViews>
    <sheetView workbookViewId="0"/>
  </sheetViews>
  <sheetFormatPr defaultRowHeight="14.25" x14ac:dyDescent="0.2"/>
  <cols>
    <col min="1" max="1" width="1.25" style="3" customWidth="1"/>
    <col min="2" max="2" width="71.5" style="3" customWidth="1"/>
    <col min="3" max="16384" width="9" style="3"/>
  </cols>
  <sheetData>
    <row r="1" spans="2:2" ht="36" customHeight="1" x14ac:dyDescent="0.2"/>
    <row r="2" spans="2:2" ht="27.95" customHeight="1" x14ac:dyDescent="0.2">
      <c r="B2" s="251" t="s">
        <v>221</v>
      </c>
    </row>
    <row r="4" spans="2:2" ht="71.25" x14ac:dyDescent="0.2">
      <c r="B4" s="160" t="s">
        <v>285</v>
      </c>
    </row>
    <row r="5" spans="2:2" x14ac:dyDescent="0.2">
      <c r="B5" s="86"/>
    </row>
    <row r="6" spans="2:2" s="87" customFormat="1" x14ac:dyDescent="0.2">
      <c r="B6" s="87" t="s">
        <v>222</v>
      </c>
    </row>
    <row r="7" spans="2:2" ht="15" x14ac:dyDescent="0.2">
      <c r="B7" s="157" t="s">
        <v>292</v>
      </c>
    </row>
    <row r="8" spans="2:2" ht="15" x14ac:dyDescent="0.2">
      <c r="B8" s="157" t="s">
        <v>290</v>
      </c>
    </row>
    <row r="9" spans="2:2" ht="15" x14ac:dyDescent="0.2">
      <c r="B9" s="157" t="s">
        <v>291</v>
      </c>
    </row>
    <row r="10" spans="2:2" x14ac:dyDescent="0.2">
      <c r="B10" s="86"/>
    </row>
    <row r="11" spans="2:2" ht="42.75" x14ac:dyDescent="0.2">
      <c r="B11" s="160" t="s">
        <v>286</v>
      </c>
    </row>
    <row r="13" spans="2:2" ht="15" x14ac:dyDescent="0.25">
      <c r="B13" s="63" t="s">
        <v>223</v>
      </c>
    </row>
    <row r="14" spans="2:2" x14ac:dyDescent="0.2">
      <c r="B14" s="167" t="s">
        <v>287</v>
      </c>
    </row>
    <row r="15" spans="2:2" x14ac:dyDescent="0.2">
      <c r="B15" s="167" t="s">
        <v>288</v>
      </c>
    </row>
    <row r="16" spans="2:2" x14ac:dyDescent="0.2">
      <c r="B16" s="167" t="s">
        <v>289</v>
      </c>
    </row>
    <row r="18" spans="2:2" ht="15" x14ac:dyDescent="0.25">
      <c r="B18" s="65" t="s">
        <v>224</v>
      </c>
    </row>
    <row r="19" spans="2:2" ht="15" x14ac:dyDescent="0.25">
      <c r="B19" s="158"/>
    </row>
    <row r="21" spans="2:2" ht="15" x14ac:dyDescent="0.2">
      <c r="B21" s="250" t="s">
        <v>225</v>
      </c>
    </row>
    <row r="22" spans="2:2" ht="85.5" x14ac:dyDescent="0.2">
      <c r="B22" s="86" t="s">
        <v>226</v>
      </c>
    </row>
  </sheetData>
  <sheetProtection password="D8FA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H6" sqref="H6"/>
    </sheetView>
  </sheetViews>
  <sheetFormatPr defaultColWidth="9" defaultRowHeight="14.25" x14ac:dyDescent="0.2"/>
  <cols>
    <col min="1" max="1" width="1.25" style="3" customWidth="1"/>
    <col min="2" max="2" width="3.75" style="3" customWidth="1"/>
    <col min="3" max="3" width="24.25" style="3" customWidth="1"/>
    <col min="4" max="4" width="6.375" style="3" customWidth="1"/>
    <col min="5" max="5" width="4.875" style="3" customWidth="1"/>
    <col min="6" max="6" width="3.125" style="3" customWidth="1"/>
    <col min="7" max="7" width="2.25" style="3" customWidth="1"/>
    <col min="8" max="8" width="14.375" style="3" customWidth="1"/>
    <col min="9" max="9" width="14.5" style="3" customWidth="1"/>
    <col min="10" max="10" width="12" style="3" customWidth="1"/>
    <col min="11" max="16384" width="9" style="3"/>
  </cols>
  <sheetData>
    <row r="1" spans="1:11" ht="36" customHeight="1" x14ac:dyDescent="0.25"/>
    <row r="2" spans="1:11" ht="27.95" customHeight="1" x14ac:dyDescent="0.2">
      <c r="B2" s="266" t="str">
        <f>"Rekenmodel Gedifferentieerde premies WGA en ZW "&amp;Hulpsheet!$B$2</f>
        <v>Rekenmodel Gedifferentieerde premies WGA en ZW 2018</v>
      </c>
      <c r="C2" s="266"/>
      <c r="D2" s="266"/>
      <c r="E2" s="266"/>
      <c r="F2" s="266"/>
      <c r="G2" s="266"/>
      <c r="H2" s="266"/>
      <c r="I2" s="266"/>
      <c r="J2" s="266"/>
      <c r="K2" s="4"/>
    </row>
    <row r="3" spans="1:11" ht="13.9" x14ac:dyDescent="0.25">
      <c r="B3" s="5"/>
      <c r="C3" s="5"/>
      <c r="D3" s="5"/>
      <c r="E3" s="5"/>
      <c r="F3" s="5"/>
      <c r="G3" s="5"/>
      <c r="H3" s="5"/>
      <c r="I3" s="5"/>
      <c r="J3" s="5"/>
    </row>
    <row r="4" spans="1:11" s="7" customFormat="1" ht="18" customHeight="1" x14ac:dyDescent="0.2">
      <c r="A4" s="6"/>
      <c r="B4" s="267" t="s">
        <v>194</v>
      </c>
      <c r="C4" s="267"/>
      <c r="D4" s="267"/>
      <c r="E4" s="267"/>
      <c r="F4" s="267"/>
      <c r="G4" s="267"/>
      <c r="H4" s="267"/>
      <c r="I4" s="267"/>
      <c r="J4" s="268"/>
    </row>
    <row r="5" spans="1:11" ht="13.9" x14ac:dyDescent="0.25">
      <c r="A5" s="8"/>
      <c r="B5" s="9"/>
      <c r="C5" s="10"/>
      <c r="D5" s="9"/>
      <c r="E5" s="9"/>
      <c r="F5" s="9"/>
      <c r="G5" s="9"/>
      <c r="H5" s="9"/>
      <c r="I5" s="9"/>
      <c r="J5" s="8"/>
    </row>
    <row r="6" spans="1:11" ht="13.9" x14ac:dyDescent="0.25">
      <c r="A6" s="8"/>
      <c r="B6" s="9"/>
      <c r="C6" s="269" t="s">
        <v>219</v>
      </c>
      <c r="D6" s="269"/>
      <c r="E6" s="269"/>
      <c r="F6" s="11"/>
      <c r="G6" s="9"/>
      <c r="H6" s="12">
        <v>2012</v>
      </c>
      <c r="I6" s="13"/>
      <c r="J6" s="8"/>
    </row>
    <row r="7" spans="1:11" ht="13.9" x14ac:dyDescent="0.25">
      <c r="A7" s="8"/>
      <c r="B7" s="9"/>
      <c r="C7" s="9"/>
      <c r="D7" s="9"/>
      <c r="E7" s="9"/>
      <c r="F7" s="9"/>
      <c r="G7" s="9"/>
      <c r="H7" s="9"/>
      <c r="I7" s="9"/>
      <c r="J7" s="8"/>
    </row>
    <row r="8" spans="1:11" x14ac:dyDescent="0.2">
      <c r="A8" s="8"/>
      <c r="B8" s="9"/>
      <c r="C8" s="9" t="s">
        <v>197</v>
      </c>
      <c r="D8" s="9"/>
      <c r="E8" s="9"/>
      <c r="F8" s="9"/>
      <c r="G8" s="9"/>
      <c r="H8" s="9"/>
      <c r="I8" s="9"/>
      <c r="J8" s="8"/>
    </row>
    <row r="9" spans="1:11" x14ac:dyDescent="0.2">
      <c r="A9" s="8"/>
      <c r="B9" s="9"/>
      <c r="C9" s="14">
        <f>Hulpsheet!$B$2-2</f>
        <v>2016</v>
      </c>
      <c r="D9" s="9"/>
      <c r="E9" s="9"/>
      <c r="F9" s="9"/>
      <c r="G9" s="15" t="s">
        <v>196</v>
      </c>
      <c r="H9" s="1">
        <v>2000000</v>
      </c>
      <c r="I9" s="9"/>
      <c r="J9" s="8"/>
    </row>
    <row r="10" spans="1:11" x14ac:dyDescent="0.2">
      <c r="A10" s="8"/>
      <c r="B10" s="9"/>
      <c r="C10" s="14">
        <f>+C9-1</f>
        <v>2015</v>
      </c>
      <c r="D10" s="9"/>
      <c r="E10" s="9"/>
      <c r="F10" s="9"/>
      <c r="G10" s="15" t="s">
        <v>196</v>
      </c>
      <c r="H10" s="1">
        <v>2000000</v>
      </c>
      <c r="I10" s="9"/>
      <c r="J10" s="8"/>
    </row>
    <row r="11" spans="1:11" ht="15" x14ac:dyDescent="0.25">
      <c r="A11" s="8"/>
      <c r="B11" s="9"/>
      <c r="C11" s="14">
        <f>+C10-1</f>
        <v>2014</v>
      </c>
      <c r="D11" s="16"/>
      <c r="E11" s="16"/>
      <c r="F11" s="16"/>
      <c r="G11" s="9" t="s">
        <v>196</v>
      </c>
      <c r="H11" s="1">
        <v>2000000</v>
      </c>
      <c r="I11" s="9"/>
      <c r="J11" s="8"/>
    </row>
    <row r="12" spans="1:11" ht="15" x14ac:dyDescent="0.25">
      <c r="A12" s="8"/>
      <c r="B12" s="9"/>
      <c r="C12" s="14">
        <f>+C11-1</f>
        <v>2013</v>
      </c>
      <c r="D12" s="16"/>
      <c r="E12" s="16"/>
      <c r="F12" s="16"/>
      <c r="G12" s="9" t="s">
        <v>196</v>
      </c>
      <c r="H12" s="1">
        <v>2000000</v>
      </c>
      <c r="I12" s="9"/>
      <c r="J12" s="8"/>
    </row>
    <row r="13" spans="1:11" ht="15" x14ac:dyDescent="0.25">
      <c r="A13" s="8"/>
      <c r="B13" s="9"/>
      <c r="C13" s="14">
        <f>+C12-1</f>
        <v>2012</v>
      </c>
      <c r="D13" s="16"/>
      <c r="E13" s="16"/>
      <c r="F13" s="16"/>
      <c r="G13" s="9" t="s">
        <v>196</v>
      </c>
      <c r="H13" s="1">
        <v>2000000</v>
      </c>
      <c r="I13" s="9"/>
      <c r="J13" s="8"/>
    </row>
    <row r="14" spans="1:11" ht="15" x14ac:dyDescent="0.25">
      <c r="A14" s="8"/>
      <c r="B14" s="9"/>
      <c r="C14" s="14">
        <f>+C13-1</f>
        <v>2011</v>
      </c>
      <c r="D14" s="16"/>
      <c r="E14" s="16"/>
      <c r="F14" s="16"/>
      <c r="G14" s="9" t="s">
        <v>196</v>
      </c>
      <c r="H14" s="1">
        <v>2000000</v>
      </c>
      <c r="I14" s="9"/>
      <c r="J14" s="8"/>
    </row>
    <row r="15" spans="1:11" ht="15" x14ac:dyDescent="0.25">
      <c r="A15" s="8"/>
      <c r="B15" s="9"/>
      <c r="C15" s="10"/>
      <c r="D15" s="9"/>
      <c r="E15" s="9"/>
      <c r="F15" s="9"/>
      <c r="G15" s="9"/>
      <c r="H15" s="9"/>
      <c r="I15" s="9"/>
      <c r="J15" s="8"/>
    </row>
    <row r="16" spans="1:11" ht="15" x14ac:dyDescent="0.25">
      <c r="A16" s="8"/>
      <c r="B16" s="9"/>
      <c r="C16" s="17" t="str">
        <f>"Kwalificatie werkgever in "&amp;Hulpsheet!$B$2-1&amp;":"</f>
        <v>Kwalificatie werkgever in 2017:</v>
      </c>
      <c r="D16" s="9"/>
      <c r="E16" s="18"/>
      <c r="F16" s="18"/>
      <c r="G16" s="9"/>
      <c r="H16" s="252" t="str">
        <f>IF($H$10&lt;=VLOOKUP(Hulpsheet!$B$2-1,Grens_klein_middel_groot[],3,FALSE),"Kleine werkgever",IF(Invulformulier!$H$10&gt;VLOOKUP(Hulpsheet!$B$2-1,Grens_klein_middel_groot[],4,FALSE),"Grote werkgever","Middelgrote werkgever"))</f>
        <v>Middelgrote werkgever</v>
      </c>
      <c r="I16" s="19"/>
      <c r="J16" s="8"/>
    </row>
    <row r="17" spans="1:10" ht="15" x14ac:dyDescent="0.25">
      <c r="A17" s="8"/>
      <c r="B17" s="9"/>
      <c r="C17" s="17" t="str">
        <f>"Kwalificatie werkgever in "&amp;Hulpsheet!$B$2&amp;":"</f>
        <v>Kwalificatie werkgever in 2018:</v>
      </c>
      <c r="D17" s="9"/>
      <c r="E17" s="18"/>
      <c r="F17" s="18"/>
      <c r="G17" s="9"/>
      <c r="H17" s="252" t="str">
        <f>IF($H$9&lt;=VLOOKUP(Hulpsheet!$B$2,Grens_klein_middel_groot[],3,FALSE),"Kleine werkgever",IF(Invulformulier!$H$9&gt;VLOOKUP(Hulpsheet!$B$2,Grens_klein_middel_groot[],4,FALSE),"Grote werkgever","Middelgrote werkgever"))</f>
        <v>Middelgrote werkgever</v>
      </c>
      <c r="I17" s="19"/>
      <c r="J17" s="8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15"/>
      <c r="J18" s="8"/>
    </row>
    <row r="19" spans="1:10" ht="13.9" x14ac:dyDescent="0.25">
      <c r="A19" s="8"/>
      <c r="B19" s="9"/>
      <c r="C19" s="15" t="str">
        <f>"Wat was de uitkeringslast in "&amp;Hulpsheet!$B$2-3&amp;"?"</f>
        <v>Wat was de uitkeringslast in 2015?</v>
      </c>
      <c r="D19" s="18"/>
      <c r="E19" s="20"/>
      <c r="F19" s="20"/>
      <c r="G19" s="20"/>
      <c r="H19" s="9"/>
      <c r="I19" s="9"/>
      <c r="J19" s="8"/>
    </row>
    <row r="20" spans="1:10" x14ac:dyDescent="0.2">
      <c r="A20" s="8"/>
      <c r="B20" s="9"/>
      <c r="C20" s="179" t="s">
        <v>237</v>
      </c>
      <c r="D20" s="18"/>
      <c r="E20" s="18"/>
      <c r="F20" s="18"/>
      <c r="G20" s="20" t="s">
        <v>196</v>
      </c>
      <c r="H20" s="2">
        <v>0</v>
      </c>
      <c r="I20" s="21"/>
      <c r="J20" s="8"/>
    </row>
    <row r="21" spans="1:10" x14ac:dyDescent="0.2">
      <c r="A21" s="8"/>
      <c r="B21" s="9"/>
      <c r="C21" s="179" t="s">
        <v>14</v>
      </c>
      <c r="D21" s="18"/>
      <c r="E21" s="18"/>
      <c r="F21" s="18"/>
      <c r="G21" s="20" t="s">
        <v>196</v>
      </c>
      <c r="H21" s="2">
        <v>0</v>
      </c>
      <c r="I21" s="21"/>
      <c r="J21" s="8"/>
    </row>
    <row r="22" spans="1:10" x14ac:dyDescent="0.2">
      <c r="A22" s="8"/>
      <c r="B22" s="9"/>
      <c r="C22" s="9"/>
      <c r="D22" s="9"/>
      <c r="E22" s="9"/>
      <c r="F22" s="9"/>
      <c r="G22" s="9"/>
      <c r="H22" s="9"/>
      <c r="I22" s="9"/>
      <c r="J22" s="8"/>
    </row>
    <row r="23" spans="1:10" x14ac:dyDescent="0.2">
      <c r="A23" s="8"/>
      <c r="B23" s="9"/>
      <c r="C23" s="15" t="str">
        <f>"Wat was de uitkeringslast in "&amp;Hulpsheet!$B$2-2&amp;"?"</f>
        <v>Wat was de uitkeringslast in 2016?</v>
      </c>
      <c r="D23" s="18"/>
      <c r="E23" s="20"/>
      <c r="F23" s="20"/>
      <c r="G23" s="20"/>
      <c r="H23" s="9"/>
      <c r="I23" s="9"/>
      <c r="J23" s="8"/>
    </row>
    <row r="24" spans="1:10" x14ac:dyDescent="0.2">
      <c r="A24" s="8"/>
      <c r="B24" s="9"/>
      <c r="C24" s="179" t="s">
        <v>237</v>
      </c>
      <c r="D24" s="18"/>
      <c r="E24" s="18"/>
      <c r="F24" s="18"/>
      <c r="G24" s="20" t="s">
        <v>196</v>
      </c>
      <c r="H24" s="2">
        <v>0</v>
      </c>
      <c r="I24" s="21"/>
      <c r="J24" s="8"/>
    </row>
    <row r="25" spans="1:10" x14ac:dyDescent="0.2">
      <c r="A25" s="8"/>
      <c r="B25" s="9"/>
      <c r="C25" s="179" t="s">
        <v>14</v>
      </c>
      <c r="D25" s="9"/>
      <c r="E25" s="9"/>
      <c r="F25" s="9"/>
      <c r="G25" s="20" t="s">
        <v>196</v>
      </c>
      <c r="H25" s="2">
        <v>0</v>
      </c>
      <c r="I25" s="22"/>
      <c r="J25" s="8"/>
    </row>
    <row r="26" spans="1:10" x14ac:dyDescent="0.2">
      <c r="A26" s="8"/>
      <c r="B26" s="9"/>
      <c r="C26" s="9"/>
      <c r="D26" s="9"/>
      <c r="E26" s="9"/>
      <c r="F26" s="9"/>
      <c r="G26" s="9"/>
      <c r="H26" s="9"/>
      <c r="I26" s="9"/>
      <c r="J26" s="8"/>
    </row>
    <row r="27" spans="1:10" x14ac:dyDescent="0.2">
      <c r="A27" s="8"/>
      <c r="B27" s="9"/>
      <c r="C27" s="15" t="s">
        <v>220</v>
      </c>
      <c r="D27" s="9"/>
      <c r="E27" s="9"/>
      <c r="F27" s="9"/>
      <c r="G27" s="9"/>
      <c r="H27" s="270" t="s">
        <v>110</v>
      </c>
      <c r="I27" s="270"/>
      <c r="J27" s="8"/>
    </row>
    <row r="28" spans="1:10" ht="15" x14ac:dyDescent="0.25">
      <c r="A28" s="8"/>
      <c r="B28" s="9"/>
      <c r="C28" s="9"/>
      <c r="D28" s="9"/>
      <c r="E28" s="9"/>
      <c r="F28" s="9"/>
      <c r="G28" s="9"/>
      <c r="H28" s="271" t="str">
        <f>VLOOKUP($H$27,Premies_sectorfonds[],2,FALSE)</f>
        <v>Zakelijke Dienstverlening III</v>
      </c>
      <c r="I28" s="271"/>
      <c r="J28" s="23"/>
    </row>
    <row r="29" spans="1:10" ht="15" x14ac:dyDescent="0.25">
      <c r="A29" s="8"/>
      <c r="B29" s="9"/>
      <c r="C29" s="9"/>
      <c r="D29" s="9"/>
      <c r="E29" s="9"/>
      <c r="F29" s="9"/>
      <c r="G29" s="9"/>
      <c r="H29" s="24"/>
      <c r="I29" s="24"/>
      <c r="J29" s="23"/>
    </row>
    <row r="30" spans="1:10" x14ac:dyDescent="0.2">
      <c r="A30" s="8"/>
      <c r="B30" s="9"/>
      <c r="C30" s="15" t="str">
        <f>"Is de werkgever eigen risicodrager in "&amp;Hulpsheet!$B$2-3&amp;"?"</f>
        <v>Is de werkgever eigen risicodrager in 2015?</v>
      </c>
      <c r="D30" s="9"/>
      <c r="E30" s="20"/>
      <c r="F30" s="20"/>
      <c r="G30" s="20"/>
      <c r="H30" s="9"/>
      <c r="I30" s="9"/>
      <c r="J30" s="8"/>
    </row>
    <row r="31" spans="1:10" x14ac:dyDescent="0.2">
      <c r="A31" s="8"/>
      <c r="B31" s="9"/>
      <c r="C31" s="14" t="s">
        <v>5</v>
      </c>
      <c r="D31" s="9"/>
      <c r="E31" s="20"/>
      <c r="F31" s="20"/>
      <c r="G31" s="20"/>
      <c r="H31" s="25" t="s">
        <v>195</v>
      </c>
      <c r="I31" s="9"/>
      <c r="J31" s="8"/>
    </row>
    <row r="32" spans="1:10" x14ac:dyDescent="0.2">
      <c r="A32" s="8"/>
      <c r="B32" s="9"/>
      <c r="C32" s="179" t="s">
        <v>14</v>
      </c>
      <c r="D32" s="9"/>
      <c r="E32" s="9"/>
      <c r="F32" s="9"/>
      <c r="G32" s="9"/>
      <c r="H32" s="26" t="s">
        <v>195</v>
      </c>
      <c r="I32" s="9"/>
      <c r="J32" s="8"/>
    </row>
    <row r="33" spans="1:10" ht="15" x14ac:dyDescent="0.25">
      <c r="A33" s="8"/>
      <c r="B33" s="9"/>
      <c r="C33" s="27"/>
      <c r="D33" s="9"/>
      <c r="E33" s="9"/>
      <c r="F33" s="9"/>
      <c r="G33" s="9"/>
      <c r="H33" s="9"/>
      <c r="I33" s="9"/>
      <c r="J33" s="23"/>
    </row>
    <row r="34" spans="1:10" x14ac:dyDescent="0.2">
      <c r="A34" s="8"/>
      <c r="B34" s="9"/>
      <c r="C34" s="15" t="str">
        <f>"Is de werkgever eigen risicodrager in "&amp;Hulpsheet!$B$2-2&amp;"?"</f>
        <v>Is de werkgever eigen risicodrager in 2016?</v>
      </c>
      <c r="D34" s="9"/>
      <c r="E34" s="20"/>
      <c r="F34" s="20"/>
      <c r="G34" s="20"/>
      <c r="H34" s="9"/>
      <c r="I34" s="9"/>
      <c r="J34" s="8"/>
    </row>
    <row r="35" spans="1:10" x14ac:dyDescent="0.2">
      <c r="A35" s="8"/>
      <c r="B35" s="9"/>
      <c r="C35" s="14" t="s">
        <v>5</v>
      </c>
      <c r="D35" s="9"/>
      <c r="E35" s="20"/>
      <c r="F35" s="20"/>
      <c r="G35" s="20"/>
      <c r="H35" s="25" t="s">
        <v>195</v>
      </c>
      <c r="I35" s="9"/>
      <c r="J35" s="8"/>
    </row>
    <row r="36" spans="1:10" x14ac:dyDescent="0.2">
      <c r="A36" s="8"/>
      <c r="B36" s="9"/>
      <c r="C36" s="179" t="s">
        <v>14</v>
      </c>
      <c r="D36" s="9"/>
      <c r="E36" s="9"/>
      <c r="F36" s="9"/>
      <c r="G36" s="9"/>
      <c r="H36" s="25" t="s">
        <v>195</v>
      </c>
      <c r="I36" s="9"/>
      <c r="J36" s="8"/>
    </row>
    <row r="37" spans="1:10" ht="15" x14ac:dyDescent="0.25">
      <c r="A37" s="8"/>
      <c r="B37" s="9"/>
      <c r="C37" s="27"/>
      <c r="D37" s="9"/>
      <c r="E37" s="9"/>
      <c r="F37" s="9"/>
      <c r="G37" s="9"/>
      <c r="H37" s="9"/>
      <c r="I37" s="9"/>
      <c r="J37" s="8"/>
    </row>
    <row r="38" spans="1:10" x14ac:dyDescent="0.2">
      <c r="A38" s="8"/>
      <c r="B38" s="9"/>
      <c r="C38" s="15" t="str">
        <f>"Is de werkgever eigen risicodrager in "&amp;Hulpsheet!$B$2-1&amp;"?"</f>
        <v>Is de werkgever eigen risicodrager in 2017?</v>
      </c>
      <c r="D38" s="9"/>
      <c r="E38" s="20"/>
      <c r="F38" s="20"/>
      <c r="G38" s="20"/>
      <c r="H38" s="9"/>
      <c r="I38" s="9"/>
      <c r="J38" s="8"/>
    </row>
    <row r="39" spans="1:10" x14ac:dyDescent="0.2">
      <c r="A39" s="8"/>
      <c r="B39" s="9"/>
      <c r="C39" s="179" t="s">
        <v>237</v>
      </c>
      <c r="D39" s="9"/>
      <c r="E39" s="20"/>
      <c r="F39" s="20"/>
      <c r="G39" s="20"/>
      <c r="H39" s="25" t="s">
        <v>195</v>
      </c>
      <c r="I39" s="9"/>
      <c r="J39" s="8"/>
    </row>
    <row r="40" spans="1:10" x14ac:dyDescent="0.2">
      <c r="A40" s="8"/>
      <c r="B40" s="9"/>
      <c r="C40" s="179" t="s">
        <v>14</v>
      </c>
      <c r="D40" s="9"/>
      <c r="E40" s="9"/>
      <c r="F40" s="9"/>
      <c r="G40" s="9"/>
      <c r="H40" s="25" t="s">
        <v>195</v>
      </c>
      <c r="I40" s="9"/>
      <c r="J40" s="8"/>
    </row>
    <row r="41" spans="1:10" ht="15" x14ac:dyDescent="0.25">
      <c r="A41" s="8"/>
      <c r="B41" s="9"/>
      <c r="C41" s="27"/>
      <c r="D41" s="9"/>
      <c r="E41" s="9"/>
      <c r="F41" s="9"/>
      <c r="G41" s="9"/>
      <c r="H41" s="9"/>
      <c r="I41" s="9"/>
      <c r="J41" s="8"/>
    </row>
    <row r="42" spans="1:10" x14ac:dyDescent="0.2">
      <c r="A42" s="8"/>
      <c r="B42" s="9"/>
      <c r="C42" s="15" t="str">
        <f>"Is de werkgever eigen risicodrager in "&amp;Hulpsheet!$B$2&amp;"?"</f>
        <v>Is de werkgever eigen risicodrager in 2018?</v>
      </c>
      <c r="D42" s="9"/>
      <c r="E42" s="20"/>
      <c r="F42" s="20"/>
      <c r="G42" s="20"/>
      <c r="H42" s="9"/>
      <c r="I42" s="9"/>
      <c r="J42" s="8"/>
    </row>
    <row r="43" spans="1:10" x14ac:dyDescent="0.2">
      <c r="A43" s="8"/>
      <c r="B43" s="9"/>
      <c r="C43" s="179" t="s">
        <v>237</v>
      </c>
      <c r="D43" s="9"/>
      <c r="E43" s="20"/>
      <c r="F43" s="20"/>
      <c r="G43" s="20"/>
      <c r="H43" s="25" t="s">
        <v>195</v>
      </c>
      <c r="I43" s="9"/>
      <c r="J43" s="8"/>
    </row>
    <row r="44" spans="1:10" x14ac:dyDescent="0.2">
      <c r="A44" s="8"/>
      <c r="B44" s="9"/>
      <c r="C44" s="179" t="s">
        <v>14</v>
      </c>
      <c r="D44" s="9"/>
      <c r="E44" s="9"/>
      <c r="F44" s="9"/>
      <c r="G44" s="9"/>
      <c r="H44" s="25" t="s">
        <v>195</v>
      </c>
      <c r="I44" s="9"/>
      <c r="J44" s="8"/>
    </row>
    <row r="45" spans="1:10" x14ac:dyDescent="0.2">
      <c r="A45" s="8"/>
      <c r="B45" s="5"/>
      <c r="C45" s="28"/>
      <c r="D45" s="5"/>
      <c r="E45" s="5"/>
      <c r="F45" s="5"/>
      <c r="G45" s="5"/>
      <c r="H45" s="5"/>
      <c r="I45" s="5"/>
      <c r="J45" s="29"/>
    </row>
  </sheetData>
  <sheetProtection password="D8FA" sheet="1" objects="1" scenarios="1"/>
  <protectedRanges>
    <protectedRange sqref="H31:I32 H27:I27 H35:I36 H39:H40 H43:H44 I37:I44 I20:I21 I24:I25" name="Range1"/>
    <protectedRange sqref="H24:H25 H20:H21" name="Range1_4"/>
  </protectedRanges>
  <dataConsolidate/>
  <mergeCells count="5">
    <mergeCell ref="B2:J2"/>
    <mergeCell ref="B4:J4"/>
    <mergeCell ref="C6:E6"/>
    <mergeCell ref="H27:I27"/>
    <mergeCell ref="H28:I28"/>
  </mergeCells>
  <dataValidations count="3">
    <dataValidation allowBlank="1" showDropDown="1" showInputMessage="1" showErrorMessage="1" sqref="I6"/>
    <dataValidation type="list" allowBlank="1" showInputMessage="1" showErrorMessage="1" sqref="H6">
      <formula1>INDIRECT("Start_onderneming")</formula1>
    </dataValidation>
    <dataValidation type="list" allowBlank="1" showInputMessage="1" showErrorMessage="1" sqref="H35:H36 H31:H32 H43:H44 H39:H40">
      <formula1>"Ja, Nee"</formula1>
    </dataValidation>
  </dataValidations>
  <pageMargins left="0.7" right="0.7" top="0.75" bottom="0.75" header="0.3" footer="0.3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'Premies en parameters'!$B$301:$B$384</xm:f>
          </x14:formula1>
          <xm:sqref>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/>
  </sheetViews>
  <sheetFormatPr defaultColWidth="8.25" defaultRowHeight="14.25" x14ac:dyDescent="0.2"/>
  <cols>
    <col min="1" max="1" width="1.25" style="30" customWidth="1"/>
    <col min="2" max="2" width="3.875" style="30" customWidth="1"/>
    <col min="3" max="3" width="22" style="30" customWidth="1"/>
    <col min="4" max="4" width="31.875" style="30" customWidth="1"/>
    <col min="5" max="5" width="8.875" style="30" customWidth="1"/>
    <col min="6" max="6" width="3.625" style="30" customWidth="1"/>
    <col min="7" max="10" width="8.25" style="30"/>
    <col min="11" max="11" width="0" style="30" hidden="1" customWidth="1"/>
    <col min="12" max="12" width="28.75" style="30" hidden="1" customWidth="1"/>
    <col min="13" max="13" width="8.25" style="30" hidden="1" customWidth="1"/>
    <col min="14" max="14" width="0" style="30" hidden="1" customWidth="1"/>
    <col min="15" max="16384" width="8.25" style="30"/>
  </cols>
  <sheetData>
    <row r="1" spans="1:13" ht="36" customHeight="1" x14ac:dyDescent="0.25"/>
    <row r="2" spans="1:13" ht="27.95" customHeight="1" x14ac:dyDescent="0.2">
      <c r="B2" s="266" t="s">
        <v>274</v>
      </c>
      <c r="C2" s="266"/>
      <c r="D2" s="266"/>
      <c r="E2" s="266"/>
      <c r="F2" s="266"/>
      <c r="G2" s="31"/>
    </row>
    <row r="3" spans="1:13" ht="15.75" customHeight="1" x14ac:dyDescent="0.25">
      <c r="B3" s="32"/>
      <c r="C3" s="32"/>
      <c r="D3" s="32"/>
      <c r="E3" s="32"/>
      <c r="F3" s="32"/>
      <c r="G3" s="31"/>
      <c r="L3" s="30" t="s">
        <v>239</v>
      </c>
      <c r="M3" s="30" t="s">
        <v>26</v>
      </c>
    </row>
    <row r="4" spans="1:13" s="34" customFormat="1" ht="18" customHeight="1" x14ac:dyDescent="0.2">
      <c r="A4" s="33"/>
      <c r="B4" s="267" t="s">
        <v>208</v>
      </c>
      <c r="C4" s="267"/>
      <c r="D4" s="267"/>
      <c r="E4" s="267"/>
      <c r="F4" s="268"/>
      <c r="G4" s="31"/>
      <c r="L4" s="30" t="s">
        <v>240</v>
      </c>
      <c r="M4" s="30" t="s">
        <v>26</v>
      </c>
    </row>
    <row r="5" spans="1:13" ht="15.75" customHeight="1" x14ac:dyDescent="0.25">
      <c r="A5" s="35"/>
      <c r="B5" s="36"/>
      <c r="C5" s="36"/>
      <c r="D5" s="36"/>
      <c r="E5" s="36"/>
      <c r="F5" s="37"/>
      <c r="G5" s="31"/>
      <c r="L5" s="30" t="s">
        <v>241</v>
      </c>
      <c r="M5" s="30" t="s">
        <v>30</v>
      </c>
    </row>
    <row r="6" spans="1:13" ht="15.75" customHeight="1" x14ac:dyDescent="0.2">
      <c r="A6" s="35"/>
      <c r="B6" s="38" t="s">
        <v>209</v>
      </c>
      <c r="C6" s="39" t="str">
        <f>Invulformulier!H17</f>
        <v>Middelgrote werkgever</v>
      </c>
      <c r="D6" s="39"/>
      <c r="E6" s="40"/>
      <c r="F6" s="41"/>
      <c r="G6" s="31"/>
      <c r="L6" s="30" t="s">
        <v>242</v>
      </c>
      <c r="M6" s="30" t="s">
        <v>30</v>
      </c>
    </row>
    <row r="7" spans="1:13" ht="15.75" customHeight="1" x14ac:dyDescent="0.25">
      <c r="A7" s="35"/>
      <c r="B7" s="38"/>
      <c r="C7" s="39" t="str">
        <f>"Loonsom "&amp;Hulpsheet!$B$2-2</f>
        <v>Loonsom 2016</v>
      </c>
      <c r="D7" s="42">
        <f>Invulformulier!$H$9</f>
        <v>2000000</v>
      </c>
      <c r="E7" s="40"/>
      <c r="F7" s="41"/>
      <c r="G7" s="31"/>
      <c r="L7" s="30" t="s">
        <v>243</v>
      </c>
      <c r="M7" s="30" t="s">
        <v>42</v>
      </c>
    </row>
    <row r="8" spans="1:13" ht="15.75" customHeight="1" x14ac:dyDescent="0.2">
      <c r="A8" s="35"/>
      <c r="B8" s="38"/>
      <c r="C8" s="39" t="str">
        <f>"Loonsom "&amp;Hulpsheet!$B$2-3</f>
        <v>Loonsom 2015</v>
      </c>
      <c r="D8" s="42">
        <f>Invulformulier!$H$10</f>
        <v>2000000</v>
      </c>
      <c r="E8" s="40"/>
      <c r="F8" s="41"/>
      <c r="G8" s="31"/>
      <c r="L8" s="34" t="s">
        <v>244</v>
      </c>
      <c r="M8" s="30" t="s">
        <v>42</v>
      </c>
    </row>
    <row r="9" spans="1:13" ht="15.75" customHeight="1" x14ac:dyDescent="0.2">
      <c r="A9" s="35"/>
      <c r="B9" s="38" t="s">
        <v>209</v>
      </c>
      <c r="C9" s="43" t="str">
        <f>"Uitkeringslasten "&amp;Hulpsheet!$B$2-2&amp;":"</f>
        <v>Uitkeringslasten 2016:</v>
      </c>
      <c r="D9" s="43"/>
      <c r="E9" s="40"/>
      <c r="F9" s="41"/>
      <c r="G9" s="31"/>
      <c r="L9" s="30" t="s">
        <v>245</v>
      </c>
      <c r="M9" s="30" t="s">
        <v>90</v>
      </c>
    </row>
    <row r="10" spans="1:13" ht="15.75" customHeight="1" x14ac:dyDescent="0.25">
      <c r="A10" s="35"/>
      <c r="B10" s="38"/>
      <c r="C10" s="43" t="s">
        <v>237</v>
      </c>
      <c r="D10" s="163">
        <f>Invulformulier!$H$24</f>
        <v>0</v>
      </c>
      <c r="E10" s="40"/>
      <c r="F10" s="41"/>
      <c r="G10" s="31"/>
      <c r="L10" s="30" t="s">
        <v>246</v>
      </c>
      <c r="M10" s="30" t="s">
        <v>90</v>
      </c>
    </row>
    <row r="11" spans="1:13" ht="15.75" customHeight="1" x14ac:dyDescent="0.25">
      <c r="A11" s="35"/>
      <c r="B11" s="38"/>
      <c r="C11" s="43" t="s">
        <v>14</v>
      </c>
      <c r="D11" s="163">
        <f>Invulformulier!$H$25</f>
        <v>0</v>
      </c>
      <c r="E11" s="40"/>
      <c r="F11" s="41"/>
      <c r="G11" s="31"/>
      <c r="L11" s="30" t="s">
        <v>247</v>
      </c>
      <c r="M11" s="30" t="s">
        <v>124</v>
      </c>
    </row>
    <row r="12" spans="1:13" ht="15.75" customHeight="1" x14ac:dyDescent="0.2">
      <c r="A12" s="35"/>
      <c r="B12" s="38" t="s">
        <v>209</v>
      </c>
      <c r="C12" s="43" t="str">
        <f>"Uitkeringslasten "&amp;Hulpsheet!$B$2-3&amp;":"</f>
        <v>Uitkeringslasten 2015:</v>
      </c>
      <c r="D12" s="43"/>
      <c r="E12" s="40"/>
      <c r="F12" s="41"/>
      <c r="G12" s="31"/>
      <c r="L12" s="30" t="s">
        <v>248</v>
      </c>
      <c r="M12" s="30" t="s">
        <v>124</v>
      </c>
    </row>
    <row r="13" spans="1:13" ht="15.75" customHeight="1" x14ac:dyDescent="0.25">
      <c r="A13" s="35"/>
      <c r="B13" s="38"/>
      <c r="C13" s="43" t="s">
        <v>237</v>
      </c>
      <c r="D13" s="163">
        <f>Invulformulier!$H$20</f>
        <v>0</v>
      </c>
      <c r="E13" s="40"/>
      <c r="F13" s="41"/>
      <c r="G13" s="31"/>
      <c r="L13" s="30" t="s">
        <v>249</v>
      </c>
      <c r="M13" s="30" t="s">
        <v>124</v>
      </c>
    </row>
    <row r="14" spans="1:13" ht="15.75" customHeight="1" x14ac:dyDescent="0.25">
      <c r="A14" s="35"/>
      <c r="B14" s="38"/>
      <c r="C14" s="43" t="s">
        <v>14</v>
      </c>
      <c r="D14" s="163">
        <f>Invulformulier!$H$21</f>
        <v>0</v>
      </c>
      <c r="E14" s="40"/>
      <c r="F14" s="41"/>
      <c r="G14" s="31"/>
      <c r="L14" s="30" t="s">
        <v>250</v>
      </c>
      <c r="M14" s="30" t="s">
        <v>124</v>
      </c>
    </row>
    <row r="15" spans="1:13" ht="15.75" customHeight="1" x14ac:dyDescent="0.2">
      <c r="A15" s="35"/>
      <c r="B15" s="38" t="s">
        <v>209</v>
      </c>
      <c r="C15" s="43" t="str">
        <f>IF(_xlfn.IFNA(VLOOKUP(Invulformulier!$H$27,'Premies 2017 en 2018'!$L$3:$M$18,1,FALSE),"")=Invulformulier!$H$27,VLOOKUP(Invulformulier!$H$27,'Premies 2017 en 2018'!$L$3:$M$18,2,FALSE),Invulformulier!$H$27)</f>
        <v>Sector 45</v>
      </c>
      <c r="D15" s="43" t="str">
        <f>Invulformulier!$H$28</f>
        <v>Zakelijke Dienstverlening III</v>
      </c>
      <c r="E15" s="40"/>
      <c r="F15" s="41"/>
      <c r="G15" s="31"/>
      <c r="L15" s="30" t="s">
        <v>252</v>
      </c>
      <c r="M15" s="30" t="s">
        <v>128</v>
      </c>
    </row>
    <row r="16" spans="1:13" ht="15.75" customHeight="1" x14ac:dyDescent="0.2">
      <c r="A16" s="35"/>
      <c r="B16" s="38"/>
      <c r="C16" s="43"/>
      <c r="D16" s="43"/>
      <c r="E16" s="40"/>
      <c r="F16" s="41"/>
      <c r="G16" s="31"/>
      <c r="L16" s="30" t="s">
        <v>253</v>
      </c>
      <c r="M16" s="30" t="s">
        <v>128</v>
      </c>
    </row>
    <row r="17" spans="1:13" ht="15.75" customHeight="1" x14ac:dyDescent="0.2">
      <c r="A17" s="35"/>
      <c r="B17" s="44"/>
      <c r="C17" s="45"/>
      <c r="D17" s="45"/>
      <c r="E17" s="32"/>
      <c r="F17" s="46"/>
      <c r="G17" s="31"/>
      <c r="L17" s="30" t="s">
        <v>254</v>
      </c>
      <c r="M17" s="30" t="s">
        <v>132</v>
      </c>
    </row>
    <row r="18" spans="1:13" x14ac:dyDescent="0.2">
      <c r="B18" s="47"/>
      <c r="C18" s="47"/>
      <c r="D18" s="47"/>
      <c r="E18" s="47"/>
      <c r="F18" s="47"/>
      <c r="L18" s="30" t="s">
        <v>255</v>
      </c>
      <c r="M18" s="30" t="s">
        <v>132</v>
      </c>
    </row>
    <row r="19" spans="1:13" s="34" customFormat="1" ht="18" customHeight="1" x14ac:dyDescent="0.2">
      <c r="A19" s="33"/>
      <c r="B19" s="267" t="str">
        <f>"Premies werknemersverzekeringen "&amp;Hulpsheet!$B$2</f>
        <v>Premies werknemersverzekeringen 2018</v>
      </c>
      <c r="C19" s="267"/>
      <c r="D19" s="267"/>
      <c r="E19" s="267"/>
      <c r="F19" s="268"/>
    </row>
    <row r="20" spans="1:13" ht="15.75" x14ac:dyDescent="0.2">
      <c r="A20" s="35"/>
      <c r="B20" s="48"/>
      <c r="C20" s="49"/>
      <c r="D20" s="49"/>
      <c r="E20" s="49"/>
      <c r="F20" s="50"/>
    </row>
    <row r="21" spans="1:13" ht="15.75" x14ac:dyDescent="0.2">
      <c r="A21" s="35"/>
      <c r="B21" s="48"/>
      <c r="C21" s="51" t="s">
        <v>17</v>
      </c>
      <c r="D21" s="51"/>
      <c r="E21" s="39"/>
      <c r="F21" s="50"/>
    </row>
    <row r="22" spans="1:13" ht="15.75" x14ac:dyDescent="0.2">
      <c r="A22" s="35"/>
      <c r="B22" s="48"/>
      <c r="C22" s="39" t="s">
        <v>210</v>
      </c>
      <c r="D22" s="39"/>
      <c r="E22" s="52">
        <f>'Premies en parameters'!$F$75</f>
        <v>2.8500000000000001E-2</v>
      </c>
      <c r="F22" s="50"/>
    </row>
    <row r="23" spans="1:13" ht="15.75" x14ac:dyDescent="0.2">
      <c r="A23" s="35"/>
      <c r="B23" s="48"/>
      <c r="C23" s="39" t="s">
        <v>211</v>
      </c>
      <c r="D23" s="39"/>
      <c r="E23" s="52">
        <f>VLOOKUP(Invulformulier!$H$27,Premies_sectorfonds[],VLOOKUP(VALUE(RIGHT($B$19,4)),Jaartal_kolomindex[],2,FALSE),FALSE)</f>
        <v>1.9699999999999999E-2</v>
      </c>
      <c r="F23" s="50"/>
    </row>
    <row r="24" spans="1:13" ht="15.75" x14ac:dyDescent="0.2">
      <c r="A24" s="35"/>
      <c r="B24" s="48"/>
      <c r="C24" s="39"/>
      <c r="D24" s="39"/>
      <c r="E24" s="52"/>
      <c r="F24" s="50"/>
    </row>
    <row r="25" spans="1:13" ht="15.75" x14ac:dyDescent="0.2">
      <c r="A25" s="35"/>
      <c r="B25" s="48"/>
      <c r="C25" s="51" t="s">
        <v>217</v>
      </c>
      <c r="D25" s="51"/>
      <c r="E25" s="52"/>
      <c r="F25" s="50"/>
    </row>
    <row r="26" spans="1:13" ht="15.75" x14ac:dyDescent="0.2">
      <c r="A26" s="35"/>
      <c r="B26" s="48"/>
      <c r="C26" s="39" t="s">
        <v>218</v>
      </c>
      <c r="D26" s="39"/>
      <c r="E26" s="52">
        <f>'Premies en parameters'!F77</f>
        <v>6.2700000000000006E-2</v>
      </c>
      <c r="F26" s="50"/>
    </row>
    <row r="27" spans="1:13" ht="15.75" x14ac:dyDescent="0.2">
      <c r="A27" s="35"/>
      <c r="B27" s="48"/>
      <c r="C27" s="39" t="s">
        <v>212</v>
      </c>
      <c r="D27" s="39"/>
      <c r="E27" s="52">
        <f>'Premies en parameters'!$F$78</f>
        <v>5.0000000000000001E-3</v>
      </c>
      <c r="F27" s="50"/>
    </row>
    <row r="28" spans="1:13" ht="15.75" x14ac:dyDescent="0.2">
      <c r="A28" s="35"/>
      <c r="B28" s="48"/>
      <c r="C28" s="39"/>
      <c r="D28" s="39"/>
      <c r="E28" s="52"/>
      <c r="F28" s="50"/>
    </row>
    <row r="29" spans="1:13" ht="15" x14ac:dyDescent="0.2">
      <c r="A29" s="35"/>
      <c r="B29" s="9"/>
      <c r="C29" s="51" t="s">
        <v>23</v>
      </c>
      <c r="D29" s="51"/>
      <c r="E29" s="53">
        <f>'Premies en parameters'!$F$79</f>
        <v>6.9000000000000006E-2</v>
      </c>
      <c r="F29" s="8"/>
    </row>
    <row r="30" spans="1:13" ht="15" x14ac:dyDescent="0.2">
      <c r="A30" s="35"/>
      <c r="B30" s="9"/>
      <c r="C30" s="51"/>
      <c r="D30" s="51"/>
      <c r="E30" s="53"/>
      <c r="F30" s="8"/>
    </row>
    <row r="31" spans="1:13" ht="15.75" x14ac:dyDescent="0.2">
      <c r="A31" s="35"/>
      <c r="B31" s="48"/>
      <c r="C31" s="51" t="s">
        <v>213</v>
      </c>
      <c r="D31" s="51"/>
      <c r="E31" s="52">
        <f>SUM(E32:E33)</f>
        <v>6.3E-3</v>
      </c>
      <c r="F31" s="50"/>
    </row>
    <row r="32" spans="1:13" x14ac:dyDescent="0.2">
      <c r="A32" s="35"/>
      <c r="B32" s="9"/>
      <c r="C32" s="9" t="s">
        <v>214</v>
      </c>
      <c r="D32" s="9"/>
      <c r="E32" s="164">
        <f>IF(Invulformulier!$H$43="Ja",0,IF(Invulformulier!$H$17="Kleine werkgever",Formules!D28,IF(Invulformulier!$H$17="Middelgrote werkgever",Formules!D33,Formules!D38)))</f>
        <v>3.4000000000000002E-3</v>
      </c>
      <c r="F32" s="8"/>
    </row>
    <row r="33" spans="1:6" x14ac:dyDescent="0.2">
      <c r="A33" s="35"/>
      <c r="B33" s="9"/>
      <c r="C33" s="9" t="s">
        <v>215</v>
      </c>
      <c r="D33" s="9"/>
      <c r="E33" s="164">
        <f>IF(Invulformulier!$H$44="Ja",0,IF(Invulformulier!$H$17="Kleine werkgever",Formules!D29,IF(Invulformulier!$H$17="Middelgrote werkgever",Formules!D34,Formules!D39)))</f>
        <v>2.9000000000000002E-3</v>
      </c>
      <c r="F33" s="8"/>
    </row>
    <row r="34" spans="1:6" x14ac:dyDescent="0.2">
      <c r="A34" s="35"/>
      <c r="B34" s="9"/>
      <c r="C34" s="9"/>
      <c r="D34" s="9"/>
      <c r="E34" s="54"/>
      <c r="F34" s="8"/>
    </row>
    <row r="35" spans="1:6" ht="15" x14ac:dyDescent="0.25">
      <c r="A35" s="35"/>
      <c r="B35" s="9"/>
      <c r="C35" s="55" t="s">
        <v>216</v>
      </c>
      <c r="D35" s="55"/>
      <c r="E35" s="56">
        <f>SUM(E21:E31)</f>
        <v>0.19120000000000001</v>
      </c>
      <c r="F35" s="8"/>
    </row>
    <row r="36" spans="1:6" ht="15" x14ac:dyDescent="0.25">
      <c r="A36" s="35"/>
      <c r="B36" s="5"/>
      <c r="C36" s="57"/>
      <c r="D36" s="57"/>
      <c r="E36" s="58"/>
      <c r="F36" s="29"/>
    </row>
    <row r="37" spans="1:6" x14ac:dyDescent="0.2">
      <c r="B37" s="3"/>
      <c r="C37" s="3"/>
      <c r="D37" s="3"/>
      <c r="E37" s="3"/>
      <c r="F37" s="3"/>
    </row>
    <row r="38" spans="1:6" s="34" customFormat="1" ht="18" customHeight="1" x14ac:dyDescent="0.2">
      <c r="A38" s="33"/>
      <c r="B38" s="267" t="str">
        <f>"Premies werknemersverzekeringen "&amp;Hulpsheet!$B$2-1</f>
        <v>Premies werknemersverzekeringen 2017</v>
      </c>
      <c r="C38" s="267"/>
      <c r="D38" s="267"/>
      <c r="E38" s="267"/>
      <c r="F38" s="268"/>
    </row>
    <row r="39" spans="1:6" ht="15.75" x14ac:dyDescent="0.2">
      <c r="A39" s="35"/>
      <c r="B39" s="48"/>
      <c r="C39" s="49"/>
      <c r="D39" s="49"/>
      <c r="E39" s="49"/>
      <c r="F39" s="50"/>
    </row>
    <row r="40" spans="1:6" ht="15.75" x14ac:dyDescent="0.2">
      <c r="A40" s="35"/>
      <c r="B40" s="48"/>
      <c r="C40" s="51" t="s">
        <v>17</v>
      </c>
      <c r="D40" s="51"/>
      <c r="E40" s="39"/>
      <c r="F40" s="50"/>
    </row>
    <row r="41" spans="1:6" ht="15.75" x14ac:dyDescent="0.2">
      <c r="A41" s="35"/>
      <c r="B41" s="48"/>
      <c r="C41" s="39" t="s">
        <v>210</v>
      </c>
      <c r="D41" s="39"/>
      <c r="E41" s="52">
        <f>'Premies en parameters'!$E$75</f>
        <v>2.64E-2</v>
      </c>
      <c r="F41" s="50"/>
    </row>
    <row r="42" spans="1:6" ht="15.75" x14ac:dyDescent="0.2">
      <c r="A42" s="35"/>
      <c r="B42" s="48"/>
      <c r="C42" s="39" t="s">
        <v>211</v>
      </c>
      <c r="D42" s="39"/>
      <c r="E42" s="52">
        <f>VLOOKUP(Invulformulier!$H$27,Premies_sectorfonds[],VLOOKUP(VALUE(RIGHT($B$38,4)),Jaartal_kolomindex[],2,FALSE),FALSE)</f>
        <v>1.4800000000000001E-2</v>
      </c>
      <c r="F42" s="50"/>
    </row>
    <row r="43" spans="1:6" ht="15.75" x14ac:dyDescent="0.2">
      <c r="A43" s="35"/>
      <c r="B43" s="48"/>
      <c r="C43" s="39"/>
      <c r="D43" s="39"/>
      <c r="E43" s="52"/>
      <c r="F43" s="50"/>
    </row>
    <row r="44" spans="1:6" ht="15.75" x14ac:dyDescent="0.2">
      <c r="A44" s="35"/>
      <c r="B44" s="48"/>
      <c r="C44" s="51" t="s">
        <v>217</v>
      </c>
      <c r="D44" s="51"/>
      <c r="E44" s="52"/>
      <c r="F44" s="50"/>
    </row>
    <row r="45" spans="1:6" ht="15.75" x14ac:dyDescent="0.2">
      <c r="A45" s="35"/>
      <c r="B45" s="48"/>
      <c r="C45" s="39" t="s">
        <v>218</v>
      </c>
      <c r="D45" s="39"/>
      <c r="E45" s="52">
        <f>'Premies en parameters'!$E$77</f>
        <v>6.1600000000000002E-2</v>
      </c>
      <c r="F45" s="50"/>
    </row>
    <row r="46" spans="1:6" ht="15.75" x14ac:dyDescent="0.2">
      <c r="A46" s="35"/>
      <c r="B46" s="48"/>
      <c r="C46" s="39" t="s">
        <v>212</v>
      </c>
      <c r="D46" s="39"/>
      <c r="E46" s="52">
        <f>'Premies en parameters'!$E$78</f>
        <v>5.0000000000000001E-3</v>
      </c>
      <c r="F46" s="50"/>
    </row>
    <row r="47" spans="1:6" ht="15.75" x14ac:dyDescent="0.2">
      <c r="A47" s="35"/>
      <c r="B47" s="48"/>
      <c r="C47" s="39"/>
      <c r="D47" s="39"/>
      <c r="E47" s="52"/>
      <c r="F47" s="50"/>
    </row>
    <row r="48" spans="1:6" ht="15" x14ac:dyDescent="0.2">
      <c r="A48" s="35"/>
      <c r="B48" s="9"/>
      <c r="C48" s="51" t="s">
        <v>23</v>
      </c>
      <c r="D48" s="51"/>
      <c r="E48" s="53">
        <f>'Premies en parameters'!$E$79</f>
        <v>6.6500000000000004E-2</v>
      </c>
      <c r="F48" s="8"/>
    </row>
    <row r="49" spans="1:6" ht="15" x14ac:dyDescent="0.2">
      <c r="A49" s="35"/>
      <c r="B49" s="9"/>
      <c r="C49" s="51"/>
      <c r="D49" s="51"/>
      <c r="E49" s="53"/>
      <c r="F49" s="8"/>
    </row>
    <row r="50" spans="1:6" ht="15.75" x14ac:dyDescent="0.2">
      <c r="A50" s="35"/>
      <c r="B50" s="48"/>
      <c r="C50" s="51" t="s">
        <v>213</v>
      </c>
      <c r="D50" s="51"/>
      <c r="E50" s="52">
        <f>SUM(E51:E52)</f>
        <v>5.7999999999999996E-3</v>
      </c>
      <c r="F50" s="50"/>
    </row>
    <row r="51" spans="1:6" x14ac:dyDescent="0.2">
      <c r="A51" s="35"/>
      <c r="B51" s="9"/>
      <c r="C51" s="9" t="s">
        <v>214</v>
      </c>
      <c r="D51" s="9"/>
      <c r="E51" s="164">
        <f>IF(Invulformulier!$H$39="Ja",0,IF(Invulformulier!$H$16="Kleine werkgever",Formules!D52,IF(Invulformulier!$H$16="Middelgrote werkgever",Formules!D57,Formules!D62)))</f>
        <v>3.3E-3</v>
      </c>
      <c r="F51" s="8"/>
    </row>
    <row r="52" spans="1:6" x14ac:dyDescent="0.2">
      <c r="A52" s="35"/>
      <c r="B52" s="9"/>
      <c r="C52" s="9" t="s">
        <v>215</v>
      </c>
      <c r="D52" s="9"/>
      <c r="E52" s="164">
        <f>IF(Invulformulier!$H$40="Ja",0,IF(Invulformulier!$H$16="Kleine werkgever",Formules!D53,IF(Invulformulier!$H$16="Middelgrote werkgever",Formules!D58,Formules!D63)))</f>
        <v>2.5000000000000001E-3</v>
      </c>
      <c r="F52" s="8"/>
    </row>
    <row r="53" spans="1:6" x14ac:dyDescent="0.2">
      <c r="A53" s="35"/>
      <c r="B53" s="9"/>
      <c r="C53" s="9"/>
      <c r="D53" s="9"/>
      <c r="E53" s="54"/>
      <c r="F53" s="8"/>
    </row>
    <row r="54" spans="1:6" ht="15" x14ac:dyDescent="0.25">
      <c r="A54" s="35"/>
      <c r="B54" s="9"/>
      <c r="C54" s="253" t="s">
        <v>216</v>
      </c>
      <c r="D54" s="55"/>
      <c r="E54" s="254">
        <f>SUM(E40:E50)</f>
        <v>0.18010000000000001</v>
      </c>
      <c r="F54" s="8"/>
    </row>
    <row r="55" spans="1:6" ht="15" x14ac:dyDescent="0.25">
      <c r="A55" s="35"/>
      <c r="B55" s="5"/>
      <c r="C55" s="57"/>
      <c r="D55" s="57"/>
      <c r="E55" s="58"/>
      <c r="F55" s="29"/>
    </row>
    <row r="56" spans="1:6" x14ac:dyDescent="0.2">
      <c r="B56" s="3"/>
      <c r="C56" s="3"/>
      <c r="D56" s="3"/>
      <c r="E56" s="3"/>
      <c r="F56" s="3"/>
    </row>
  </sheetData>
  <sheetProtection password="D8FA" sheet="1" objects="1" scenarios="1"/>
  <mergeCells count="4">
    <mergeCell ref="B2:F2"/>
    <mergeCell ref="B4:F4"/>
    <mergeCell ref="B38:F38"/>
    <mergeCell ref="B19:F19"/>
  </mergeCells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zoomScaleNormal="100" workbookViewId="0"/>
  </sheetViews>
  <sheetFormatPr defaultColWidth="9" defaultRowHeight="14.25" x14ac:dyDescent="0.2"/>
  <cols>
    <col min="1" max="1" width="1.25" style="3" customWidth="1"/>
    <col min="2" max="2" width="3.75" style="3" customWidth="1"/>
    <col min="3" max="3" width="29.875" style="3" customWidth="1"/>
    <col min="4" max="4" width="14.5" style="3" bestFit="1" customWidth="1"/>
    <col min="5" max="5" width="3.75" style="3" customWidth="1"/>
    <col min="6" max="6" width="16.125" style="3" bestFit="1" customWidth="1"/>
    <col min="7" max="7" width="48.625" style="3" customWidth="1"/>
    <col min="8" max="8" width="1.375" style="3" customWidth="1"/>
    <col min="9" max="16384" width="9" style="3"/>
  </cols>
  <sheetData>
    <row r="1" spans="2:7" ht="36" customHeight="1" x14ac:dyDescent="0.2"/>
    <row r="2" spans="2:7" ht="27.95" customHeight="1" x14ac:dyDescent="0.2">
      <c r="B2" s="266" t="s">
        <v>186</v>
      </c>
      <c r="C2" s="266"/>
      <c r="D2" s="266"/>
      <c r="E2" s="266"/>
      <c r="F2" s="266"/>
      <c r="G2" s="266"/>
    </row>
    <row r="4" spans="2:7" ht="15" x14ac:dyDescent="0.25">
      <c r="B4" s="59" t="s">
        <v>193</v>
      </c>
      <c r="C4" s="60"/>
      <c r="D4" s="61"/>
      <c r="G4" s="62" t="str">
        <f>IF(Invulformulier!$H$27="Sector 52","Ja",IF(Invulformulier!$H$27="Sector 52 - Detachering","Ja",IF(Invulformulier!$H$27="Sector 52 - IA","Ja",IF(Invulformulier!$H$27="Sector 52 - IIA","Ja",IF(Invulformulier!$H$27="Sector 52 - IB/IIB","Ja","Nee")))))</f>
        <v>Nee</v>
      </c>
    </row>
    <row r="5" spans="2:7" ht="15" x14ac:dyDescent="0.25">
      <c r="B5" s="59" t="str">
        <f>"Is de terugkeerpremie voor de ZW van toepassing in "&amp;Hulpsheet!$B$2-1&amp;"?"</f>
        <v>Is de terugkeerpremie voor de ZW van toepassing in 2017?</v>
      </c>
      <c r="C5" s="60"/>
      <c r="D5" s="61"/>
      <c r="G5" s="63" t="str">
        <f>IF(AND(OR(Invulformulier!$H$32="Ja",Invulformulier!$H$36="Ja"),Invulformulier!$H$40="Nee"),"Ja","Nee")</f>
        <v>Nee</v>
      </c>
    </row>
    <row r="6" spans="2:7" ht="15" x14ac:dyDescent="0.25">
      <c r="B6" s="59" t="str">
        <f>"Is de terugkeerpremie voor de ZW van toepassing in "&amp;Hulpsheet!$B$2&amp;"?"</f>
        <v>Is de terugkeerpremie voor de ZW van toepassing in 2018?</v>
      </c>
      <c r="C6" s="60"/>
      <c r="D6" s="61"/>
      <c r="G6" s="63" t="str">
        <f>IF(AND(OR(Invulformulier!$H$36="Ja",Invulformulier!$H$40="Ja"),Invulformulier!$H$44="Nee"),"Ja","Nee")</f>
        <v>Nee</v>
      </c>
    </row>
    <row r="7" spans="2:7" ht="15" x14ac:dyDescent="0.25">
      <c r="B7" s="59" t="s">
        <v>205</v>
      </c>
      <c r="C7" s="60"/>
      <c r="D7" s="64"/>
      <c r="G7" s="65" t="str">
        <f>IF(OR(Invulformulier!H6=2018,Invulformulier!H6=2017,Invulformulier!H6=2016,Invulformulier!H6=2015,Invulformulier!H6=2014,Invulformulier!H6=2013,Invulformulier!H6=2012),"Ja","Nee")</f>
        <v>Ja</v>
      </c>
    </row>
    <row r="8" spans="2:7" ht="15" x14ac:dyDescent="0.25">
      <c r="B8" s="59"/>
      <c r="C8" s="60"/>
      <c r="D8" s="60"/>
      <c r="G8" s="63"/>
    </row>
    <row r="9" spans="2:7" ht="18" customHeight="1" x14ac:dyDescent="0.2">
      <c r="B9" s="272" t="s">
        <v>198</v>
      </c>
      <c r="C9" s="273"/>
      <c r="D9" s="273"/>
      <c r="E9" s="273"/>
      <c r="F9" s="273"/>
      <c r="G9" s="274"/>
    </row>
    <row r="10" spans="2:7" ht="15" x14ac:dyDescent="0.25">
      <c r="B10" s="66"/>
      <c r="C10" s="67"/>
      <c r="D10" s="67"/>
      <c r="E10" s="67"/>
      <c r="F10" s="67"/>
      <c r="G10" s="68"/>
    </row>
    <row r="11" spans="2:7" ht="15" x14ac:dyDescent="0.25">
      <c r="B11" s="69"/>
      <c r="C11" s="70" t="s">
        <v>199</v>
      </c>
      <c r="D11" s="13" t="s">
        <v>187</v>
      </c>
      <c r="E11" s="13"/>
      <c r="F11" s="13"/>
      <c r="G11" s="8"/>
    </row>
    <row r="12" spans="2:7" x14ac:dyDescent="0.2">
      <c r="B12" s="69"/>
      <c r="C12" s="13"/>
      <c r="D12" s="13"/>
      <c r="E12" s="13"/>
      <c r="F12" s="13"/>
      <c r="G12" s="8"/>
    </row>
    <row r="13" spans="2:7" ht="15" x14ac:dyDescent="0.25">
      <c r="B13" s="69"/>
      <c r="C13" s="70" t="s">
        <v>200</v>
      </c>
      <c r="D13" s="71" t="s">
        <v>201</v>
      </c>
      <c r="E13" s="13"/>
      <c r="F13" s="13"/>
      <c r="G13" s="8"/>
    </row>
    <row r="14" spans="2:7" x14ac:dyDescent="0.2">
      <c r="B14" s="69"/>
      <c r="C14" s="265" t="s">
        <v>202</v>
      </c>
      <c r="D14" s="275" t="s">
        <v>188</v>
      </c>
      <c r="E14" s="275"/>
      <c r="F14" s="275"/>
      <c r="G14" s="276"/>
    </row>
    <row r="15" spans="2:7" x14ac:dyDescent="0.2">
      <c r="B15" s="69"/>
      <c r="C15" s="73"/>
      <c r="D15" s="275" t="s">
        <v>189</v>
      </c>
      <c r="E15" s="275"/>
      <c r="F15" s="275"/>
      <c r="G15" s="276"/>
    </row>
    <row r="16" spans="2:7" x14ac:dyDescent="0.2">
      <c r="B16" s="69"/>
      <c r="C16" s="73"/>
      <c r="D16" s="275" t="s">
        <v>190</v>
      </c>
      <c r="E16" s="275"/>
      <c r="F16" s="275"/>
      <c r="G16" s="276"/>
    </row>
    <row r="17" spans="2:7" x14ac:dyDescent="0.2">
      <c r="B17" s="69"/>
      <c r="C17" s="9"/>
      <c r="D17" s="74"/>
      <c r="E17" s="9"/>
      <c r="F17" s="9"/>
      <c r="G17" s="8"/>
    </row>
    <row r="18" spans="2:7" ht="15" x14ac:dyDescent="0.25">
      <c r="B18" s="69"/>
      <c r="C18" s="70" t="s">
        <v>203</v>
      </c>
      <c r="D18" s="71" t="s">
        <v>204</v>
      </c>
      <c r="E18" s="13"/>
      <c r="F18" s="13"/>
      <c r="G18" s="8"/>
    </row>
    <row r="19" spans="2:7" x14ac:dyDescent="0.2">
      <c r="B19" s="69"/>
      <c r="C19" s="265" t="s">
        <v>202</v>
      </c>
      <c r="D19" s="277" t="s">
        <v>191</v>
      </c>
      <c r="E19" s="277"/>
      <c r="F19" s="277"/>
      <c r="G19" s="278"/>
    </row>
    <row r="20" spans="2:7" x14ac:dyDescent="0.2">
      <c r="B20" s="69"/>
      <c r="C20" s="73"/>
      <c r="D20" s="275" t="s">
        <v>293</v>
      </c>
      <c r="E20" s="275"/>
      <c r="F20" s="275"/>
      <c r="G20" s="276"/>
    </row>
    <row r="21" spans="2:7" x14ac:dyDescent="0.2">
      <c r="B21" s="69"/>
      <c r="C21" s="73"/>
      <c r="D21" s="279" t="s">
        <v>192</v>
      </c>
      <c r="E21" s="279"/>
      <c r="F21" s="279"/>
      <c r="G21" s="280"/>
    </row>
    <row r="22" spans="2:7" ht="15" x14ac:dyDescent="0.25">
      <c r="B22" s="75"/>
      <c r="C22" s="5"/>
      <c r="D22" s="76"/>
      <c r="E22" s="5"/>
      <c r="F22" s="77"/>
      <c r="G22" s="29"/>
    </row>
    <row r="23" spans="2:7" ht="15" x14ac:dyDescent="0.25">
      <c r="B23" s="59"/>
      <c r="C23" s="60"/>
      <c r="D23" s="60"/>
      <c r="G23" s="63"/>
    </row>
    <row r="24" spans="2:7" ht="18" customHeight="1" x14ac:dyDescent="0.2">
      <c r="B24" s="272" t="str">
        <f>"Whk-premie "&amp;Hulpsheet!$B$2</f>
        <v>Whk-premie 2018</v>
      </c>
      <c r="C24" s="273"/>
      <c r="D24" s="273"/>
      <c r="E24" s="273"/>
      <c r="F24" s="273"/>
      <c r="G24" s="274"/>
    </row>
    <row r="25" spans="2:7" ht="15" x14ac:dyDescent="0.25">
      <c r="B25" s="66"/>
      <c r="C25" s="67"/>
      <c r="D25" s="67"/>
      <c r="E25" s="67"/>
      <c r="F25" s="67"/>
      <c r="G25" s="68"/>
    </row>
    <row r="26" spans="2:7" ht="15" x14ac:dyDescent="0.25">
      <c r="B26" s="69"/>
      <c r="C26" s="78" t="s">
        <v>199</v>
      </c>
      <c r="D26" s="72" t="str">
        <f>IF(Invulformulier!$H$17="Grote werkgever","N.v.t.","")</f>
        <v/>
      </c>
      <c r="E26" s="9"/>
      <c r="F26" s="9"/>
      <c r="G26" s="8"/>
    </row>
    <row r="27" spans="2:7" x14ac:dyDescent="0.2">
      <c r="B27" s="69"/>
      <c r="C27" s="72"/>
      <c r="D27" s="193"/>
      <c r="E27" s="9"/>
      <c r="F27" s="9"/>
      <c r="G27" s="8"/>
    </row>
    <row r="28" spans="2:7" x14ac:dyDescent="0.2">
      <c r="B28" s="69"/>
      <c r="C28" s="15" t="s">
        <v>237</v>
      </c>
      <c r="D28" s="79">
        <f>IF($D$26="N.v.t.","-",VLOOKUP('Premies 2017 en 2018'!$C$15,WGA_totaal_premies[],VLOOKUP(VALUE(RIGHT(B24,4)),Jaartal_kolomindex[],2,FALSE),FALSE))</f>
        <v>5.5999999999999999E-3</v>
      </c>
      <c r="E28" s="15"/>
      <c r="F28" s="15"/>
      <c r="G28" s="8"/>
    </row>
    <row r="29" spans="2:7" x14ac:dyDescent="0.2">
      <c r="B29" s="69"/>
      <c r="C29" s="15" t="s">
        <v>14</v>
      </c>
      <c r="D29" s="79">
        <f>IF($D$26="N.v.t.","-",VLOOKUP('Premies 2017 en 2018'!$C$15,ZW_flex_premies[],VLOOKUP(VALUE(RIGHT(B24,4)),Jaartal_kolomindex[],2,FALSE),FALSE))</f>
        <v>5.5999999999999999E-3</v>
      </c>
      <c r="E29" s="9"/>
      <c r="F29" s="9"/>
      <c r="G29" s="8"/>
    </row>
    <row r="30" spans="2:7" x14ac:dyDescent="0.2">
      <c r="B30" s="69"/>
      <c r="C30" s="9"/>
      <c r="D30" s="74"/>
      <c r="E30" s="9"/>
      <c r="F30" s="9"/>
      <c r="G30" s="8"/>
    </row>
    <row r="31" spans="2:7" ht="15" x14ac:dyDescent="0.25">
      <c r="B31" s="69"/>
      <c r="C31" s="78" t="s">
        <v>203</v>
      </c>
      <c r="D31" s="194" t="str">
        <f>IF(Invulformulier!$H$17="Middelgrote werkgever",IF(OR(Invulformulier!$H$6=Hulpsheet!$B$2-2,Invulformulier!$H$6=Hulpsheet!$B$2-1,Invulformulier!$H$6=Hulpsheet!$B$2-2),"Let op: Kleine startende werkgever",""),"N.v.t.")</f>
        <v/>
      </c>
      <c r="E31" s="9"/>
      <c r="F31" s="9"/>
      <c r="G31" s="8"/>
    </row>
    <row r="32" spans="2:7" x14ac:dyDescent="0.2">
      <c r="B32" s="69"/>
      <c r="C32" s="9"/>
      <c r="D32" s="79"/>
      <c r="E32" s="9"/>
      <c r="F32" s="9"/>
      <c r="G32" s="8"/>
    </row>
    <row r="33" spans="2:7" x14ac:dyDescent="0.2">
      <c r="B33" s="69"/>
      <c r="C33" s="15" t="s">
        <v>237</v>
      </c>
      <c r="D33" s="79">
        <f>IF($D$31="N.v.t.","-",FLOOR(($D$45*$D$38+(1-$D$45)*$D$28),0.0001))</f>
        <v>3.4000000000000002E-3</v>
      </c>
      <c r="E33" s="9"/>
      <c r="F33" s="9"/>
      <c r="G33" s="8"/>
    </row>
    <row r="34" spans="2:7" x14ac:dyDescent="0.2">
      <c r="B34" s="69"/>
      <c r="C34" s="15" t="s">
        <v>14</v>
      </c>
      <c r="D34" s="79">
        <f>IF($D$31="N.v.t.","-",FLOOR(($D$45*$D$39+(1-$D$45)*$D$29),0.0001))</f>
        <v>2.9000000000000002E-3</v>
      </c>
      <c r="E34" s="9"/>
      <c r="F34" s="9"/>
      <c r="G34" s="8"/>
    </row>
    <row r="35" spans="2:7" x14ac:dyDescent="0.2">
      <c r="B35" s="69"/>
      <c r="C35" s="9"/>
      <c r="D35" s="74"/>
      <c r="E35" s="9"/>
      <c r="F35" s="9"/>
      <c r="G35" s="8"/>
    </row>
    <row r="36" spans="2:7" ht="15" x14ac:dyDescent="0.25">
      <c r="B36" s="69"/>
      <c r="C36" s="78" t="s">
        <v>200</v>
      </c>
      <c r="D36" s="80" t="str">
        <f>IF(Invulformulier!$H$17="Kleine werkgever","N.v.t.",IF(OR(Invulformulier!$H$6=Hulpsheet!$B$2-2,Invulformulier!$H$6=Hulpsheet!$B$2-1,Invulformulier!$H$6=Hulpsheet!$B$2),"Let op: Kleine startende werkgever",""))</f>
        <v/>
      </c>
      <c r="E36" s="9"/>
      <c r="F36" s="9"/>
      <c r="G36" s="8"/>
    </row>
    <row r="37" spans="2:7" x14ac:dyDescent="0.2">
      <c r="B37" s="69"/>
      <c r="C37" s="9"/>
      <c r="D37" s="74"/>
      <c r="E37" s="9"/>
      <c r="F37" s="9"/>
      <c r="G37" s="8"/>
    </row>
    <row r="38" spans="2:7" x14ac:dyDescent="0.2">
      <c r="B38" s="69"/>
      <c r="C38" s="15" t="s">
        <v>237</v>
      </c>
      <c r="D38" s="79">
        <f>IF($D$36="Let op: Kleine startende werkgever",VLOOKUP('Premies 2017 en 2018'!C15,'Premies en parameters'!$B$85:$F$151,4,FALSE),IF($D$36="N.v.t.","-",FLOOR(IF('Premies en parameters'!$F$14+'Premies en parameters'!$F$16*(Formules!$D$42-'Premies en parameters'!$F$15)&lt;'Premies en parameters'!F17,'Premies en parameters'!F17,IF('Premies en parameters'!$F$14+'Premies en parameters'!$F$16*(Formules!$D$42-'Premies en parameters'!$F$15)&gt;'Premies en parameters'!F18,'Premies en parameters'!F18,'Premies en parameters'!$F$14+'Premies en parameters'!$F$16*(Formules!$D$42-'Premies en parameters'!$F$15))),0.0001)))</f>
        <v>1.8000000000000002E-3</v>
      </c>
      <c r="E38" s="9"/>
      <c r="F38" s="9"/>
      <c r="G38" s="8"/>
    </row>
    <row r="39" spans="2:7" x14ac:dyDescent="0.2">
      <c r="B39" s="69"/>
      <c r="C39" s="15" t="s">
        <v>14</v>
      </c>
      <c r="D39" s="79">
        <f>IF($D$36="Let op: Kleine startende werkgever",VLOOKUP('Premies 2017 en 2018'!C15,'Premies en parameters'!$B$85:$F$151,5,FALSE),IF($D$36="N.v.t.","-",FLOOR(IF(IF(AND(G6="Ja",'Premies en parameters'!$F$57+'Premies en parameters'!$F$59*($D$43-'Premies en parameters'!$F$58)&lt;0.5*(VLOOKUP('Premies 2017 en 2018'!C15,'Premies en parameters'!$B$85:$F$151,5))),0.5*(VLOOKUP('Premies 2017 en 2018'!C15,'Premies en parameters'!$B$85:$F$151,5)),'Premies en parameters'!$F$57+'Premies en parameters'!$F$59*(Formules!$D$43-'Premies en parameters'!$F$58))&lt;'Premies en parameters'!F60,'Premies en parameters'!F60,IF(Formules!G4="Ja",IF(IF(AND(G6="Ja",'Premies en parameters'!$F$57+'Premies en parameters'!$F$59*($D$43-'Premies en parameters'!$F$58)&lt;0.5*(VLOOKUP('Premies 2017 en 2018'!C15,'Premies en parameters'!$B$85:$F$151,5))),0.5*(VLOOKUP('Premies 2017 en 2018'!C15,'Premies en parameters'!$B$85:$F$151,5)),'Premies en parameters'!$F$57+'Premies en parameters'!$F$59*($D$43-'Premies en parameters'!$F$58))&gt;'Premies en parameters'!F62,'Premies en parameters'!F62,IF(AND(G6="Ja",'Premies en parameters'!$F$57+'Premies en parameters'!$F$59*($D$43-'Premies en parameters'!$F$58)&lt;0.5*(VLOOKUP('Premies 2017 en 2018'!C15,'Premies en parameters'!$B$85:$F$151,5))),0.5*(VLOOKUP('Premies 2017 en 2018'!C15,'Premies en parameters'!$B$85:$F$151,5)),'Premies en parameters'!$F$57+'Premies en parameters'!$F$59*($D$43-'Premies en parameters'!$F$58))),IF(IF(AND(G6="Ja",'Premies en parameters'!$F$57+'Premies en parameters'!$F$59*($D$43-'Premies en parameters'!$F$58)&lt;0.5*(VLOOKUP('Premies 2017 en 2018'!C15,'Premies en parameters'!$B$85:$F$151,5))),0.5*(VLOOKUP('Premies 2017 en 2018'!C15,'Premies en parameters'!$B$85:$F$151,5)),'Premies en parameters'!$F$57+'Premies en parameters'!$F$59*(Formules!$D$43-'Premies en parameters'!$F$58))&gt;'Premies en parameters'!F61,'Premies en parameters'!F61,IF(AND(G6="Ja",'Premies en parameters'!$F$57+'Premies en parameters'!$F$59*($D$43-'Premies en parameters'!$F$58)&lt;0.5*(VLOOKUP('Premies 2017 en 2018'!C15,'Premies en parameters'!$B$85:$F$151,5))),0.5*(VLOOKUP('Premies 2017 en 2018'!C15,'Premies en parameters'!$B$85:$F$151,5)),'Premies en parameters'!$F$57+'Premies en parameters'!$F$59*(Formules!$D$43-'Premies en parameters'!$F$58))))),0.0001)))</f>
        <v>1E-3</v>
      </c>
      <c r="E39" s="9"/>
      <c r="F39" s="81"/>
      <c r="G39" s="8"/>
    </row>
    <row r="40" spans="2:7" x14ac:dyDescent="0.2">
      <c r="B40" s="69"/>
      <c r="C40" s="15"/>
      <c r="D40" s="79"/>
      <c r="E40" s="9"/>
      <c r="F40" s="9"/>
      <c r="G40" s="8"/>
    </row>
    <row r="41" spans="2:7" x14ac:dyDescent="0.2">
      <c r="B41" s="69"/>
      <c r="C41" s="15"/>
      <c r="D41" s="79"/>
      <c r="E41" s="9"/>
      <c r="F41" s="9"/>
      <c r="G41" s="8"/>
    </row>
    <row r="42" spans="2:7" x14ac:dyDescent="0.2">
      <c r="B42" s="69"/>
      <c r="C42" s="82" t="s">
        <v>238</v>
      </c>
      <c r="D42" s="83">
        <f>IF($D$36="N.v.t.","-",IF($G$7="Nee",Invulformulier!$H$24/AVERAGE(Invulformulier!$H$9,Invulformulier!$H$10,Invulformulier!$H$11,Invulformulier!$H$12,Invulformulier!$H$13),IF(Invulformulier!$H$6=2012,Invulformulier!$H$24/('Premies en parameters'!$F$24*AVERAGE(Invulformulier!$H$9,Invulformulier!$H$10,Invulformulier!$H$11,Invulformulier!$H$12)),IF(Invulformulier!$H$6=2013,Invulformulier!$H$24/('Premies en parameters'!$F$23*AVERAGE(Invulformulier!$H$9,Invulformulier!$H$10,Invulformulier!$H$11)),IF(Invulformulier!$H$6=2014,Invulformulier!$H$24/('Premies en parameters'!$F$22*AVERAGE(Invulformulier!$H$9,Invulformulier!$H$10)),IF(Invulformulier!$H$6=2015,Invulformulier!$H$24/('Premies en parameters'!$F$21*Invulformulier!$H$9),IF(OR(Invulformulier!$H$6=2016,Invulformulier!$H$6=2017,Invulformulier!$H$6=2018),"-")))))))</f>
        <v>0</v>
      </c>
      <c r="E42" s="9"/>
      <c r="F42" s="9"/>
      <c r="G42" s="8"/>
    </row>
    <row r="43" spans="2:7" x14ac:dyDescent="0.2">
      <c r="B43" s="69"/>
      <c r="C43" s="82" t="s">
        <v>206</v>
      </c>
      <c r="D43" s="83">
        <f>IF($D$36="N.v.t.","-",IF($G$7="Nee",Invulformulier!$H$25/AVERAGE(Invulformulier!$H$9,Invulformulier!$H$10,Invulformulier!$H$11,Invulformulier!$H$12,Invulformulier!$H$13),IF(Invulformulier!$H$6=2012,Invulformulier!$H$25/('Premies en parameters'!$F$68*AVERAGE(Invulformulier!$H$9,Invulformulier!$H$10,Invulformulier!$H$11,Invulformulier!$H$12)),IF(Invulformulier!$H$6=2013,Invulformulier!$H$25/('Premies en parameters'!$F$67*AVERAGE(Invulformulier!$H$9,Invulformulier!$H$10,Invulformulier!$H$11)),IF(Invulformulier!$H$6=2014,Invulformulier!$H$25/('Premies en parameters'!$F$66*AVERAGE(Invulformulier!$H$9,Invulformulier!$H$10)),IF(Invulformulier!$H$6=2015,Invulformulier!$H$25/('Premies en parameters'!$F$65*Invulformulier!$H$9),IF(OR(Invulformulier!$H$6=2016,Invulformulier!$H$6=2017,Invulformulier!$H$6=2018),"-")))))))</f>
        <v>0</v>
      </c>
      <c r="E43" s="9"/>
      <c r="F43" s="9"/>
      <c r="G43" s="8"/>
    </row>
    <row r="44" spans="2:7" x14ac:dyDescent="0.2">
      <c r="B44" s="69"/>
      <c r="C44" s="82"/>
      <c r="D44" s="84"/>
      <c r="E44" s="9"/>
      <c r="F44" s="9"/>
      <c r="G44" s="8"/>
    </row>
    <row r="45" spans="2:7" x14ac:dyDescent="0.2">
      <c r="B45" s="69"/>
      <c r="C45" s="82" t="s">
        <v>207</v>
      </c>
      <c r="D45" s="85">
        <f>IF($D$31="N.v.t.","-",FLOOR((Invulformulier!$H$9-VLOOKUP(VALUE(RIGHT(B24,4)),Grens_klein_middel_groot[],3,FALSE))/(VLOOKUP(VALUE(RIGHT(B24,4)),Grens_klein_middel_groot[],4,FALSE)-VLOOKUP(VALUE(RIGHT(B24,4)),Grens_klein_middel_groot[],3,FALSE)),0.0001))</f>
        <v>0.56630000000000003</v>
      </c>
      <c r="E45" s="9"/>
      <c r="F45" s="9"/>
      <c r="G45" s="8"/>
    </row>
    <row r="46" spans="2:7" ht="15" x14ac:dyDescent="0.25">
      <c r="B46" s="75"/>
      <c r="C46" s="5"/>
      <c r="D46" s="76"/>
      <c r="E46" s="5"/>
      <c r="F46" s="77"/>
      <c r="G46" s="29"/>
    </row>
    <row r="47" spans="2:7" ht="15" x14ac:dyDescent="0.25">
      <c r="B47" s="59"/>
      <c r="C47" s="60"/>
      <c r="D47" s="60"/>
      <c r="G47" s="63"/>
    </row>
    <row r="48" spans="2:7" ht="18" customHeight="1" x14ac:dyDescent="0.2">
      <c r="B48" s="272" t="str">
        <f>"Whk-premie "&amp;Hulpsheet!$B$2-1</f>
        <v>Whk-premie 2017</v>
      </c>
      <c r="C48" s="273"/>
      <c r="D48" s="273"/>
      <c r="E48" s="273"/>
      <c r="F48" s="273"/>
      <c r="G48" s="274"/>
    </row>
    <row r="49" spans="2:9" ht="15" x14ac:dyDescent="0.25">
      <c r="B49" s="66"/>
      <c r="C49" s="67"/>
      <c r="D49" s="67"/>
      <c r="E49" s="67"/>
      <c r="F49" s="67"/>
      <c r="G49" s="68"/>
    </row>
    <row r="50" spans="2:9" ht="15" x14ac:dyDescent="0.25">
      <c r="B50" s="69"/>
      <c r="C50" s="253" t="s">
        <v>199</v>
      </c>
      <c r="D50" s="72" t="str">
        <f>IF(Invulformulier!$H$17="Grote werkgever","N.v.t.","")</f>
        <v/>
      </c>
      <c r="E50" s="9"/>
      <c r="F50" s="9"/>
      <c r="G50" s="8"/>
    </row>
    <row r="51" spans="2:9" x14ac:dyDescent="0.2">
      <c r="B51" s="69"/>
      <c r="C51" s="72"/>
      <c r="D51" s="181"/>
      <c r="E51" s="9"/>
      <c r="F51" s="9"/>
      <c r="G51" s="8"/>
    </row>
    <row r="52" spans="2:9" x14ac:dyDescent="0.2">
      <c r="B52" s="69"/>
      <c r="C52" s="15" t="s">
        <v>237</v>
      </c>
      <c r="D52" s="240">
        <f>IF($D$50="N.v.t.","-",VLOOKUP('Premies 2017 en 2018'!$C$15,WGA_totaal_premies[],VLOOKUP(VALUE(RIGHT(B48,4)),Jaartal_kolomindex[],2,FALSE),FALSE))</f>
        <v>5.5999999999999999E-3</v>
      </c>
      <c r="E52" s="13"/>
      <c r="F52" s="13"/>
      <c r="G52" s="8"/>
      <c r="H52" s="239"/>
      <c r="I52" s="239"/>
    </row>
    <row r="53" spans="2:9" x14ac:dyDescent="0.2">
      <c r="B53" s="69"/>
      <c r="C53" s="15" t="s">
        <v>14</v>
      </c>
      <c r="D53" s="240">
        <f>IF($D$50="N.v.t.","-",VLOOKUP('Premies 2017 en 2018'!$C$15,ZW_flex_premies[],VLOOKUP(VALUE(RIGHT(B48,4)),Jaartal_kolomindex[],2,FALSE),FALSE))</f>
        <v>4.8999999999999998E-3</v>
      </c>
      <c r="E53" s="13"/>
      <c r="F53" s="13"/>
      <c r="G53" s="8"/>
      <c r="H53" s="239"/>
      <c r="I53" s="239"/>
    </row>
    <row r="54" spans="2:9" x14ac:dyDescent="0.2">
      <c r="B54" s="69"/>
      <c r="C54" s="9"/>
      <c r="D54" s="71"/>
      <c r="E54" s="13"/>
      <c r="F54" s="13"/>
      <c r="G54" s="241"/>
      <c r="H54" s="239"/>
      <c r="I54" s="239"/>
    </row>
    <row r="55" spans="2:9" ht="15" x14ac:dyDescent="0.25">
      <c r="B55" s="69"/>
      <c r="C55" s="253" t="s">
        <v>203</v>
      </c>
      <c r="D55" s="242" t="str">
        <f>IF(Invulformulier!$H$17="Middelgrote werkgever",IF(OR(Invulformulier!$H$6=Hulpsheet!$B$2-3,Invulformulier!$H$6=Hulpsheet!$B$2-2,Invulformulier!$H$6=Hulpsheet!$B$2-1),"Let op: Kleine startende werkgever",""),"N.v.t.")</f>
        <v/>
      </c>
      <c r="E55" s="13"/>
      <c r="F55" s="13"/>
      <c r="G55" s="241"/>
      <c r="H55" s="239"/>
      <c r="I55" s="239"/>
    </row>
    <row r="56" spans="2:9" x14ac:dyDescent="0.2">
      <c r="B56" s="69"/>
      <c r="C56" s="9"/>
      <c r="D56" s="240"/>
      <c r="E56" s="13"/>
      <c r="F56" s="13"/>
      <c r="G56" s="241"/>
      <c r="H56" s="239"/>
      <c r="I56" s="239"/>
    </row>
    <row r="57" spans="2:9" x14ac:dyDescent="0.2">
      <c r="B57" s="69"/>
      <c r="C57" s="15" t="s">
        <v>237</v>
      </c>
      <c r="D57" s="240">
        <f>IF($D$55="N.v.t.","-",FLOOR(($D$68*$D$62+(1-$D$68)*$D$52),0.0001))</f>
        <v>3.3E-3</v>
      </c>
      <c r="F57" s="13"/>
      <c r="G57" s="8"/>
      <c r="H57" s="239"/>
      <c r="I57" s="239"/>
    </row>
    <row r="58" spans="2:9" x14ac:dyDescent="0.2">
      <c r="B58" s="69"/>
      <c r="C58" s="15" t="s">
        <v>14</v>
      </c>
      <c r="D58" s="240">
        <f>IF($D$55="N.v.t.","-",FLOOR(($D$68*$D$63+(1-$D$68)*$D$53),0.0001))</f>
        <v>2.5000000000000001E-3</v>
      </c>
      <c r="F58" s="13"/>
      <c r="G58" s="8"/>
      <c r="H58" s="239"/>
      <c r="I58" s="239"/>
    </row>
    <row r="59" spans="2:9" x14ac:dyDescent="0.2">
      <c r="B59" s="69"/>
      <c r="C59" s="9"/>
      <c r="D59" s="71"/>
      <c r="F59" s="13"/>
      <c r="G59" s="241"/>
      <c r="H59" s="239"/>
      <c r="I59" s="239"/>
    </row>
    <row r="60" spans="2:9" ht="15" x14ac:dyDescent="0.25">
      <c r="B60" s="69"/>
      <c r="C60" s="253" t="s">
        <v>200</v>
      </c>
      <c r="D60" s="243" t="str">
        <f>IF(Invulformulier!$H$17="Kleine werkgever","N.v.t.",IF(OR(Invulformulier!$H$6=Hulpsheet!$B$2-3,Invulformulier!$H$6=Hulpsheet!$B$2-2,Invulformulier!$H$6=Hulpsheet!$B$2-1),"Let op: Kleine startende werkgever",""))</f>
        <v/>
      </c>
      <c r="F60" s="13"/>
      <c r="G60" s="241"/>
      <c r="H60" s="239"/>
      <c r="I60" s="239"/>
    </row>
    <row r="61" spans="2:9" x14ac:dyDescent="0.2">
      <c r="B61" s="69"/>
      <c r="C61" s="9"/>
      <c r="D61" s="71"/>
      <c r="F61" s="13"/>
      <c r="G61" s="241"/>
      <c r="H61" s="239"/>
      <c r="I61" s="239"/>
    </row>
    <row r="62" spans="2:9" x14ac:dyDescent="0.2">
      <c r="B62" s="69"/>
      <c r="C62" s="15" t="s">
        <v>237</v>
      </c>
      <c r="D62" s="240">
        <f>IF($D$60="Let op: Kleine startende werkgever",VLOOKUP('Premies 2017 en 2018'!C15,'Premies en parameters'!$B$157:$F$223,4,FALSE),IF($D$60="N.v.t.","-",FLOOR(IF('Premies en parameters'!$E$14+'Premies en parameters'!$E$16*(Formules!$D$65-'Premies en parameters'!$E$15)&lt;'Premies en parameters'!E17,'Premies en parameters'!E17,IF('Premies en parameters'!$E$14+'Premies en parameters'!$E$16*(Formules!$D$65-'Premies en parameters'!$E$15)&gt;'Premies en parameters'!E18,'Premies en parameters'!E18,'Premies en parameters'!$E$14+'Premies en parameters'!$E$16*(Formules!$D$65-'Premies en parameters'!$E$15))),0.0001)))</f>
        <v>1.8000000000000002E-3</v>
      </c>
      <c r="F62" s="13"/>
      <c r="G62" s="8"/>
      <c r="H62" s="239"/>
      <c r="I62" s="239"/>
    </row>
    <row r="63" spans="2:9" x14ac:dyDescent="0.2">
      <c r="B63" s="69"/>
      <c r="C63" s="15" t="s">
        <v>14</v>
      </c>
      <c r="D63" s="240">
        <f>IF($D$60="Let op: Kleine startende werkgever",VLOOKUP('Premies 2017 en 2018'!C15,'Premies en parameters'!$B$157:$F$223,5,FALSE),IF($D$60="N.v.t.","-",FLOOR(IF(IF(AND(G6="Ja",'Premies en parameters'!$E$57+'Premies en parameters'!$E$59*($D$66-'Premies en parameters'!$E$58)&lt;0.5*(VLOOKUP('Premies 2017 en 2018'!C15,'Premies en parameters'!$B$157:$F$223,5))),0.5*(VLOOKUP('Premies 2017 en 2018'!C15,'Premies en parameters'!$B$157:$F$223,5)),'Premies en parameters'!$E$57+'Premies en parameters'!$E$59*(Formules!$D$66-'Premies en parameters'!$E$58))&lt;'Premies en parameters'!E60,'Premies en parameters'!E60,IF(Formules!G4="Ja",IF(IF(AND(G6="Ja",'Premies en parameters'!$E$57+'Premies en parameters'!$E$59*($D$66-'Premies en parameters'!$E$58)&lt;0.5*(VLOOKUP('Premies 2017 en 2018'!C15,'Premies en parameters'!$B$157:$F$223,5))),0.5*(VLOOKUP('Premies 2017 en 2018'!C15,'Premies en parameters'!$B$157:$F$223,5)),'Premies en parameters'!$E$57+'Premies en parameters'!$E$59*($D$66-'Premies en parameters'!$E$58))&gt;'Premies en parameters'!E62,'Premies en parameters'!E62,IF(AND(G6="Ja",'Premies en parameters'!$E$57+'Premies en parameters'!$E$59*($D$66-'Premies en parameters'!$E$58)&lt;0.5*(VLOOKUP('Premies 2017 en 2018'!C15,'Premies en parameters'!$B$157:$F$223,5))),0.5*(VLOOKUP('Premies 2017 en 2018'!C15,'Premies en parameters'!$B$157:$F$223,5)),'Premies en parameters'!$E$57+'Premies en parameters'!$E$59*($D$66-'Premies en parameters'!$E$58))),IF(IF(AND(G6="Ja",'Premies en parameters'!$E$57+'Premies en parameters'!$E$59*($D$66-'Premies en parameters'!$E$58)&lt;0.5*(VLOOKUP('Premies 2017 en 2018'!C15,'Premies en parameters'!$B$157:$F$223,5))),0.5*(VLOOKUP('Premies 2017 en 2018'!C15,'Premies en parameters'!$B$157:$F$223,5)),'Premies en parameters'!$E$57+'Premies en parameters'!$E$59*(Formules!$D$66-'Premies en parameters'!$E$58))&gt;'Premies en parameters'!E61,'Premies en parameters'!E61,IF(AND(G6="Ja",'Premies en parameters'!$E$57+'Premies en parameters'!$E$59*($D$66-'Premies en parameters'!$E$58)&lt;0.5*(VLOOKUP('Premies 2017 en 2018'!C15,'Premies en parameters'!$B$157:$F$223,5))),0.5*(VLOOKUP('Premies 2017 en 2018'!C15,'Premies en parameters'!$B$157:$F$223,5)),'Premies en parameters'!$E$57+'Premies en parameters'!$E$59*(Formules!$D$66-'Premies en parameters'!$E$58))))),0.0001)))</f>
        <v>8.0000000000000004E-4</v>
      </c>
      <c r="F63" s="244"/>
      <c r="G63" s="8"/>
      <c r="H63" s="239"/>
      <c r="I63" s="239"/>
    </row>
    <row r="64" spans="2:9" x14ac:dyDescent="0.2">
      <c r="B64" s="69"/>
      <c r="C64" s="15"/>
      <c r="D64" s="240"/>
      <c r="F64" s="13"/>
      <c r="G64" s="241"/>
      <c r="H64" s="239"/>
      <c r="I64" s="239"/>
    </row>
    <row r="65" spans="2:9" x14ac:dyDescent="0.2">
      <c r="B65" s="69"/>
      <c r="C65" s="82" t="s">
        <v>238</v>
      </c>
      <c r="D65" s="242">
        <f>IF($D$60="N.v.t.","-",IF($G$7="Nee",Invulformulier!$H$20/AVERAGE(Invulformulier!$H$10,Invulformulier!$H$11,Invulformulier!$H$12,Invulformulier!$H$13,Invulformulier!$H$14),IF(Invulformulier!$H$6=2011,Invulformulier!$H$20/('Premies en parameters'!$E$24*AVERAGE(Invulformulier!$H$10,Invulformulier!$H$11,Invulformulier!$H$12,Invulformulier!$H$13)),IF(Invulformulier!$H$6=2012,Invulformulier!$H$20/('Premies en parameters'!$E$23*AVERAGE(Invulformulier!$H$10,Invulformulier!$H$11,Invulformulier!$H$12)),IF(Invulformulier!$H$6=2013,Invulformulier!$H$20/('Premies en parameters'!$E$22*AVERAGE(Invulformulier!$H$10,Invulformulier!$H$11)),IF(Invulformulier!$H$6=2014,Invulformulier!$H$20/('Premies en parameters'!$E$21*Invulformulier!$H$10),IF(OR(Invulformulier!$H$6=2015,Invulformulier!$H$6=2016,Invulformulier!$H$6=2017),"-")))))))</f>
        <v>0</v>
      </c>
      <c r="F65" s="245"/>
      <c r="G65" s="8"/>
      <c r="H65" s="239"/>
      <c r="I65" s="239"/>
    </row>
    <row r="66" spans="2:9" x14ac:dyDescent="0.2">
      <c r="B66" s="69"/>
      <c r="C66" s="82" t="s">
        <v>206</v>
      </c>
      <c r="D66" s="242">
        <f>IF($D$60="N.v.t.","-",IF($G$7="Nee",Invulformulier!$H$21/AVERAGE(Invulformulier!$H$10,Invulformulier!$H$11,Invulformulier!$H$12,Invulformulier!$H$13,Invulformulier!$H$14),IF(Invulformulier!$H$6=2011,Invulformulier!$H$21/('Premies en parameters'!$E$68*AVERAGE(Invulformulier!$H$10,Invulformulier!$H$11,Invulformulier!$H$12,Invulformulier!$H$13)),IF(Invulformulier!$H$6=2012,Invulformulier!$H$21/('Premies en parameters'!$E$67*AVERAGE(Invulformulier!$H$10,Invulformulier!$H$11,Invulformulier!$H$12)),IF(Invulformulier!$H$6=2013,Invulformulier!$H$21/('Premies en parameters'!$E$66*AVERAGE(Invulformulier!$H$10,Invulformulier!$H$11)),IF(Invulformulier!$H$6=2014,Invulformulier!$H$21/('Premies en parameters'!$E$65*Invulformulier!$H$10),IF(OR(Invulformulier!$H$6=2015,Invulformulier!$H$6=2016,Invulformulier!$H$6=2017),"-")))))))</f>
        <v>0</v>
      </c>
      <c r="F66" s="245"/>
      <c r="G66" s="8"/>
      <c r="H66" s="239"/>
      <c r="I66" s="239"/>
    </row>
    <row r="67" spans="2:9" x14ac:dyDescent="0.2">
      <c r="B67" s="69"/>
      <c r="C67" s="82"/>
      <c r="D67" s="243"/>
      <c r="F67" s="13"/>
      <c r="G67" s="241"/>
      <c r="H67" s="239"/>
      <c r="I67" s="239"/>
    </row>
    <row r="68" spans="2:9" x14ac:dyDescent="0.2">
      <c r="B68" s="69"/>
      <c r="C68" s="82" t="s">
        <v>207</v>
      </c>
      <c r="D68" s="246">
        <f>IF($D$55="N.v.t.","-",FLOOR((Invulformulier!$H$10-VLOOKUP(VALUE(RIGHT(B48,4)),Grens_klein_middel_groot[],3,FALSE))/(VLOOKUP(VALUE(RIGHT(B48,4)),Grens_klein_middel_groot[],4,FALSE)-VLOOKUP(VALUE(RIGHT(B48,4)),Grens_klein_middel_groot[],3,FALSE)),0.0001))</f>
        <v>0.57900000000000007</v>
      </c>
      <c r="F68" s="13"/>
      <c r="G68" s="8"/>
      <c r="H68" s="247"/>
      <c r="I68" s="239"/>
    </row>
    <row r="69" spans="2:9" x14ac:dyDescent="0.2">
      <c r="B69" s="75"/>
      <c r="C69" s="5"/>
      <c r="D69" s="248"/>
      <c r="E69" s="147"/>
      <c r="F69" s="147"/>
      <c r="G69" s="148"/>
      <c r="H69" s="239"/>
      <c r="I69" s="247"/>
    </row>
    <row r="70" spans="2:9" ht="15" x14ac:dyDescent="0.25">
      <c r="B70" s="59"/>
      <c r="C70" s="60"/>
      <c r="D70" s="249"/>
      <c r="E70" s="239"/>
      <c r="F70" s="239"/>
      <c r="G70" s="65"/>
      <c r="H70" s="239"/>
      <c r="I70" s="239"/>
    </row>
    <row r="71" spans="2:9" ht="15" x14ac:dyDescent="0.25">
      <c r="B71" s="59"/>
      <c r="C71" s="60"/>
      <c r="D71" s="249"/>
      <c r="E71" s="239"/>
      <c r="F71" s="239"/>
      <c r="G71" s="65"/>
      <c r="H71" s="239"/>
      <c r="I71" s="239"/>
    </row>
    <row r="72" spans="2:9" x14ac:dyDescent="0.2">
      <c r="D72" s="239"/>
      <c r="E72" s="239"/>
      <c r="F72" s="239"/>
      <c r="G72" s="239"/>
      <c r="H72" s="239"/>
      <c r="I72" s="239"/>
    </row>
    <row r="73" spans="2:9" x14ac:dyDescent="0.2">
      <c r="D73" s="239"/>
      <c r="E73" s="239"/>
      <c r="F73" s="239"/>
      <c r="G73" s="239"/>
      <c r="H73" s="239"/>
      <c r="I73" s="239"/>
    </row>
    <row r="74" spans="2:9" x14ac:dyDescent="0.2">
      <c r="D74" s="239"/>
      <c r="E74" s="239"/>
      <c r="F74" s="239"/>
      <c r="G74" s="239"/>
      <c r="H74" s="239"/>
      <c r="I74" s="239"/>
    </row>
    <row r="75" spans="2:9" x14ac:dyDescent="0.2">
      <c r="D75" s="239"/>
      <c r="E75" s="239"/>
      <c r="F75" s="239"/>
      <c r="G75" s="239"/>
      <c r="H75" s="239"/>
      <c r="I75" s="239"/>
    </row>
  </sheetData>
  <sheetProtection password="D8FA" sheet="1" objects="1" scenarios="1"/>
  <protectedRanges>
    <protectedRange sqref="D4:D7 G4" name="Range1"/>
  </protectedRanges>
  <mergeCells count="10">
    <mergeCell ref="D19:G19"/>
    <mergeCell ref="D20:G20"/>
    <mergeCell ref="D21:G21"/>
    <mergeCell ref="B48:G48"/>
    <mergeCell ref="B24:G24"/>
    <mergeCell ref="B2:G2"/>
    <mergeCell ref="B9:G9"/>
    <mergeCell ref="D14:G14"/>
    <mergeCell ref="D15:G15"/>
    <mergeCell ref="D16:G16"/>
  </mergeCells>
  <pageMargins left="0.7" right="0.7" top="0.75" bottom="0.75" header="0.3" footer="0.3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topLeftCell="A4" workbookViewId="0">
      <selection activeCell="F28" sqref="F28"/>
    </sheetView>
  </sheetViews>
  <sheetFormatPr defaultRowHeight="14.25" x14ac:dyDescent="0.2"/>
  <cols>
    <col min="1" max="1" width="31.625" customWidth="1"/>
    <col min="2" max="2" width="39.875" bestFit="1" customWidth="1"/>
    <col min="3" max="3" width="17.75" customWidth="1"/>
    <col min="4" max="4" width="18.25" customWidth="1"/>
    <col min="5" max="5" width="10.5" customWidth="1"/>
    <col min="6" max="6" width="14.375" customWidth="1"/>
    <col min="8" max="9" width="10.125" customWidth="1"/>
  </cols>
  <sheetData>
    <row r="1" spans="1:8" x14ac:dyDescent="0.2">
      <c r="A1" s="195"/>
      <c r="B1" s="196"/>
      <c r="C1" s="197"/>
      <c r="E1" t="s">
        <v>269</v>
      </c>
      <c r="F1" t="s">
        <v>270</v>
      </c>
    </row>
    <row r="2" spans="1:8" x14ac:dyDescent="0.2">
      <c r="A2" s="198" t="s">
        <v>268</v>
      </c>
      <c r="B2" s="199">
        <v>2018</v>
      </c>
      <c r="C2" s="200"/>
      <c r="E2">
        <v>2015</v>
      </c>
      <c r="F2">
        <v>3</v>
      </c>
    </row>
    <row r="3" spans="1:8" ht="15" thickBot="1" x14ac:dyDescent="0.25">
      <c r="A3" s="201"/>
      <c r="B3" s="202"/>
      <c r="C3" s="203"/>
      <c r="E3">
        <f t="shared" ref="E3:E13" si="0">+E2+1</f>
        <v>2016</v>
      </c>
      <c r="F3">
        <f t="shared" ref="F3:F13" si="1">+F2+1</f>
        <v>4</v>
      </c>
    </row>
    <row r="4" spans="1:8" x14ac:dyDescent="0.2">
      <c r="E4">
        <f t="shared" si="0"/>
        <v>2017</v>
      </c>
      <c r="F4">
        <f t="shared" si="1"/>
        <v>5</v>
      </c>
    </row>
    <row r="5" spans="1:8" x14ac:dyDescent="0.2">
      <c r="E5">
        <f t="shared" si="0"/>
        <v>2018</v>
      </c>
      <c r="F5">
        <f t="shared" si="1"/>
        <v>6</v>
      </c>
    </row>
    <row r="6" spans="1:8" x14ac:dyDescent="0.2">
      <c r="E6">
        <f t="shared" si="0"/>
        <v>2019</v>
      </c>
      <c r="F6">
        <f t="shared" si="1"/>
        <v>7</v>
      </c>
    </row>
    <row r="7" spans="1:8" x14ac:dyDescent="0.2">
      <c r="E7">
        <f t="shared" si="0"/>
        <v>2020</v>
      </c>
      <c r="F7">
        <f t="shared" si="1"/>
        <v>8</v>
      </c>
    </row>
    <row r="8" spans="1:8" x14ac:dyDescent="0.2">
      <c r="E8">
        <f t="shared" si="0"/>
        <v>2021</v>
      </c>
      <c r="F8">
        <f t="shared" si="1"/>
        <v>9</v>
      </c>
    </row>
    <row r="9" spans="1:8" x14ac:dyDescent="0.2">
      <c r="A9" t="s">
        <v>256</v>
      </c>
      <c r="E9">
        <f t="shared" si="0"/>
        <v>2022</v>
      </c>
      <c r="F9">
        <f t="shared" si="1"/>
        <v>10</v>
      </c>
    </row>
    <row r="10" spans="1:8" x14ac:dyDescent="0.2">
      <c r="A10">
        <f>+B2</f>
        <v>2018</v>
      </c>
      <c r="E10">
        <f t="shared" si="0"/>
        <v>2023</v>
      </c>
      <c r="F10">
        <f t="shared" si="1"/>
        <v>11</v>
      </c>
    </row>
    <row r="11" spans="1:8" x14ac:dyDescent="0.2">
      <c r="A11">
        <f t="shared" ref="A11:A16" si="2">+A10-1</f>
        <v>2017</v>
      </c>
      <c r="E11">
        <f t="shared" si="0"/>
        <v>2024</v>
      </c>
      <c r="F11">
        <f t="shared" si="1"/>
        <v>12</v>
      </c>
    </row>
    <row r="12" spans="1:8" x14ac:dyDescent="0.2">
      <c r="A12">
        <f t="shared" si="2"/>
        <v>2016</v>
      </c>
      <c r="E12">
        <f t="shared" si="0"/>
        <v>2025</v>
      </c>
      <c r="F12">
        <f t="shared" si="1"/>
        <v>13</v>
      </c>
    </row>
    <row r="13" spans="1:8" x14ac:dyDescent="0.2">
      <c r="A13">
        <f t="shared" si="2"/>
        <v>2015</v>
      </c>
      <c r="E13">
        <f t="shared" si="0"/>
        <v>2026</v>
      </c>
      <c r="F13">
        <f t="shared" si="1"/>
        <v>14</v>
      </c>
    </row>
    <row r="14" spans="1:8" x14ac:dyDescent="0.2">
      <c r="A14">
        <f t="shared" si="2"/>
        <v>2014</v>
      </c>
    </row>
    <row r="15" spans="1:8" x14ac:dyDescent="0.2">
      <c r="A15">
        <f t="shared" si="2"/>
        <v>2013</v>
      </c>
    </row>
    <row r="16" spans="1:8" x14ac:dyDescent="0.2">
      <c r="A16">
        <f t="shared" si="2"/>
        <v>2012</v>
      </c>
      <c r="H16" t="str">
        <f>IF($H$10&lt;VLOOKUP(Hulpsheet!$B$2,Grens_klein_middel_groot[],3,FALSE),"")</f>
        <v/>
      </c>
    </row>
    <row r="17" spans="1:14" x14ac:dyDescent="0.2">
      <c r="A17" t="str">
        <f>"Voor "&amp;A16</f>
        <v>Voor 2012</v>
      </c>
    </row>
    <row r="19" spans="1:14" x14ac:dyDescent="0.2">
      <c r="A19" t="s">
        <v>273</v>
      </c>
    </row>
    <row r="20" spans="1:14" x14ac:dyDescent="0.2">
      <c r="A20" t="s">
        <v>269</v>
      </c>
      <c r="B20" t="s">
        <v>1</v>
      </c>
      <c r="C20" t="s">
        <v>271</v>
      </c>
      <c r="D20" t="s">
        <v>272</v>
      </c>
    </row>
    <row r="21" spans="1:14" x14ac:dyDescent="0.2">
      <c r="A21">
        <v>2015</v>
      </c>
      <c r="B21" s="205">
        <v>31400</v>
      </c>
      <c r="C21" s="205">
        <f>+B21*10</f>
        <v>314000</v>
      </c>
      <c r="D21" s="205">
        <f>+B21*100</f>
        <v>3140000</v>
      </c>
    </row>
    <row r="22" spans="1:14" x14ac:dyDescent="0.2">
      <c r="A22">
        <v>2016</v>
      </c>
      <c r="B22" s="205">
        <v>31900</v>
      </c>
      <c r="C22" s="205">
        <f>+B22*10</f>
        <v>319000</v>
      </c>
      <c r="D22" s="205">
        <f>+B22*100</f>
        <v>3190000</v>
      </c>
    </row>
    <row r="23" spans="1:14" x14ac:dyDescent="0.2">
      <c r="A23">
        <v>2017</v>
      </c>
      <c r="B23" s="205">
        <v>32200</v>
      </c>
      <c r="C23" s="205">
        <f>+B23*10</f>
        <v>322000</v>
      </c>
      <c r="D23" s="205">
        <f>+B23*100</f>
        <v>3220000</v>
      </c>
    </row>
    <row r="24" spans="1:14" x14ac:dyDescent="0.2">
      <c r="A24">
        <v>2018</v>
      </c>
      <c r="B24" s="205">
        <v>32800</v>
      </c>
      <c r="C24" s="205">
        <f>+B24*10</f>
        <v>328000</v>
      </c>
      <c r="D24" s="205">
        <f>+B24*100</f>
        <v>3280000</v>
      </c>
    </row>
    <row r="27" spans="1:14" x14ac:dyDescent="0.2">
      <c r="A27" t="s">
        <v>16</v>
      </c>
      <c r="B27" t="s">
        <v>275</v>
      </c>
      <c r="C27" t="s">
        <v>236</v>
      </c>
      <c r="D27" t="s">
        <v>15</v>
      </c>
      <c r="E27" t="s">
        <v>234</v>
      </c>
      <c r="F27" t="s">
        <v>259</v>
      </c>
      <c r="G27" t="s">
        <v>260</v>
      </c>
      <c r="H27" t="s">
        <v>261</v>
      </c>
      <c r="I27" t="s">
        <v>262</v>
      </c>
      <c r="J27" t="s">
        <v>263</v>
      </c>
      <c r="K27" t="s">
        <v>264</v>
      </c>
      <c r="L27" t="s">
        <v>265</v>
      </c>
      <c r="M27" t="s">
        <v>266</v>
      </c>
      <c r="N27" t="s">
        <v>267</v>
      </c>
    </row>
    <row r="28" spans="1:14" x14ac:dyDescent="0.2">
      <c r="A28" t="s">
        <v>18</v>
      </c>
      <c r="C28" s="204">
        <v>2.2200000000000001E-2</v>
      </c>
      <c r="D28" s="204">
        <v>2.4400000000000002E-2</v>
      </c>
      <c r="E28" s="204">
        <v>2.64E-2</v>
      </c>
      <c r="F28" s="204">
        <v>2.8500000000000001E-2</v>
      </c>
      <c r="G28" s="204"/>
      <c r="H28" s="204"/>
      <c r="I28" s="204"/>
      <c r="J28" s="204"/>
      <c r="K28" s="204"/>
      <c r="L28" s="204"/>
      <c r="M28" s="204"/>
      <c r="N28" s="204"/>
    </row>
    <row r="29" spans="1:14" x14ac:dyDescent="0.2">
      <c r="A29" t="s">
        <v>19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 t="s">
        <v>20</v>
      </c>
      <c r="N29" t="s">
        <v>20</v>
      </c>
    </row>
    <row r="30" spans="1:14" x14ac:dyDescent="0.2">
      <c r="A30" t="s">
        <v>21</v>
      </c>
      <c r="C30" s="204">
        <v>5.2499999999999998E-2</v>
      </c>
      <c r="D30" s="204">
        <v>5.8799999999999998E-2</v>
      </c>
      <c r="E30" s="204">
        <v>6.1600000000000002E-2</v>
      </c>
      <c r="F30" s="204">
        <v>6.2700000000000006E-2</v>
      </c>
      <c r="G30" s="204"/>
      <c r="H30" s="204"/>
      <c r="I30" s="204"/>
      <c r="J30" s="204"/>
      <c r="K30" s="204"/>
      <c r="L30" s="204"/>
      <c r="M30" s="204"/>
      <c r="N30" s="204"/>
    </row>
    <row r="31" spans="1:14" x14ac:dyDescent="0.2">
      <c r="A31" t="s">
        <v>22</v>
      </c>
      <c r="C31" s="204">
        <v>5.0000000000000001E-3</v>
      </c>
      <c r="D31" s="204">
        <v>5.0000000000000001E-3</v>
      </c>
      <c r="E31" s="204">
        <v>5.0000000000000001E-3</v>
      </c>
      <c r="F31" s="204">
        <v>5.0000000000000001E-3</v>
      </c>
      <c r="G31" s="204"/>
      <c r="H31" s="204"/>
      <c r="I31" s="204"/>
      <c r="J31" s="204"/>
      <c r="K31" s="204"/>
      <c r="L31" s="204"/>
      <c r="M31" s="204"/>
      <c r="N31" s="204"/>
    </row>
    <row r="32" spans="1:14" x14ac:dyDescent="0.2">
      <c r="A32" t="s">
        <v>23</v>
      </c>
      <c r="C32" s="204">
        <v>6.9500000000000006E-2</v>
      </c>
      <c r="D32" s="204">
        <v>6.7500000000000004E-2</v>
      </c>
      <c r="E32" s="204">
        <v>6.6500000000000004E-2</v>
      </c>
      <c r="F32" s="204">
        <v>6.9000000000000006E-2</v>
      </c>
      <c r="G32" s="204"/>
      <c r="H32" s="204"/>
      <c r="I32" s="204"/>
      <c r="J32" s="204"/>
      <c r="K32" s="204"/>
      <c r="L32" s="204"/>
      <c r="M32" s="204"/>
      <c r="N32" s="204"/>
    </row>
    <row r="38" spans="1:14" x14ac:dyDescent="0.2">
      <c r="A38" t="s">
        <v>257</v>
      </c>
      <c r="B38" t="s">
        <v>258</v>
      </c>
      <c r="C38" t="s">
        <v>236</v>
      </c>
      <c r="D38" t="s">
        <v>15</v>
      </c>
      <c r="E38" t="s">
        <v>234</v>
      </c>
      <c r="F38" t="s">
        <v>259</v>
      </c>
      <c r="G38" t="s">
        <v>260</v>
      </c>
      <c r="H38" t="s">
        <v>261</v>
      </c>
      <c r="I38" t="s">
        <v>262</v>
      </c>
      <c r="J38" t="s">
        <v>263</v>
      </c>
      <c r="K38" t="s">
        <v>264</v>
      </c>
      <c r="L38" t="s">
        <v>265</v>
      </c>
      <c r="M38" t="s">
        <v>266</v>
      </c>
      <c r="N38" t="s">
        <v>267</v>
      </c>
    </row>
    <row r="39" spans="1:14" x14ac:dyDescent="0.2">
      <c r="A39" t="s">
        <v>26</v>
      </c>
      <c r="B39" t="s">
        <v>161</v>
      </c>
      <c r="C39" s="204">
        <v>2.1399999999999999E-2</v>
      </c>
      <c r="D39" s="204">
        <v>1.89E-2</v>
      </c>
      <c r="E39" s="204">
        <v>8.5000000000000006E-3</v>
      </c>
      <c r="F39" s="204">
        <v>1.0800000000000001E-2</v>
      </c>
      <c r="G39" s="204"/>
      <c r="H39" s="204"/>
      <c r="I39" s="204"/>
      <c r="J39" s="204"/>
      <c r="K39" s="204"/>
      <c r="L39" s="204"/>
      <c r="M39" s="204"/>
      <c r="N39" s="204"/>
    </row>
    <row r="40" spans="1:14" x14ac:dyDescent="0.2">
      <c r="A40" t="s">
        <v>239</v>
      </c>
      <c r="B40" t="s">
        <v>162</v>
      </c>
      <c r="C40" s="204">
        <v>7.4700000000000003E-2</v>
      </c>
      <c r="D40" s="204">
        <v>6.0600000000000001E-2</v>
      </c>
      <c r="E40" s="204">
        <v>2.3099999999999999E-2</v>
      </c>
      <c r="F40" s="204">
        <v>2.7799999999999998E-2</v>
      </c>
      <c r="G40" s="204"/>
      <c r="H40" s="204"/>
      <c r="I40" s="204"/>
      <c r="J40" s="204"/>
      <c r="K40" s="204"/>
      <c r="L40" s="204"/>
      <c r="M40" s="204"/>
      <c r="N40" s="204"/>
    </row>
    <row r="41" spans="1:14" x14ac:dyDescent="0.2">
      <c r="A41" t="s">
        <v>240</v>
      </c>
      <c r="B41" t="s">
        <v>163</v>
      </c>
      <c r="C41" s="204">
        <v>9.7999999999999997E-3</v>
      </c>
      <c r="D41" s="204">
        <v>1.0200000000000001E-2</v>
      </c>
      <c r="E41" s="204">
        <v>5.8999999999999999E-3</v>
      </c>
      <c r="F41" s="204">
        <v>6.6E-3</v>
      </c>
      <c r="G41" s="204"/>
      <c r="H41" s="204"/>
      <c r="I41" s="204"/>
      <c r="J41" s="204"/>
      <c r="K41" s="204"/>
      <c r="L41" s="204"/>
      <c r="M41" s="204"/>
      <c r="N41" s="204"/>
    </row>
    <row r="42" spans="1:14" x14ac:dyDescent="0.2">
      <c r="A42" t="s">
        <v>28</v>
      </c>
      <c r="B42" t="s">
        <v>29</v>
      </c>
      <c r="C42" s="204">
        <v>2.86E-2</v>
      </c>
      <c r="D42" s="204">
        <v>6.3E-3</v>
      </c>
      <c r="E42" s="204">
        <v>1.2699999999999999E-2</v>
      </c>
      <c r="F42" s="204">
        <v>2.5000000000000001E-2</v>
      </c>
      <c r="G42" s="204"/>
      <c r="H42" s="204"/>
      <c r="I42" s="204"/>
      <c r="J42" s="204"/>
      <c r="K42" s="204"/>
      <c r="L42" s="204"/>
      <c r="M42" s="204"/>
      <c r="N42" s="204"/>
    </row>
    <row r="43" spans="1:14" x14ac:dyDescent="0.2">
      <c r="A43" t="s">
        <v>30</v>
      </c>
      <c r="B43" t="s">
        <v>164</v>
      </c>
      <c r="C43" s="204">
        <v>4.7199999999999999E-2</v>
      </c>
      <c r="D43" s="204">
        <v>1.8200000000000001E-2</v>
      </c>
      <c r="E43" s="204">
        <v>1.5800000000000002E-2</v>
      </c>
      <c r="F43" s="204">
        <v>1.6299999999999999E-2</v>
      </c>
      <c r="G43" s="204"/>
      <c r="H43" s="204"/>
      <c r="I43" s="204"/>
      <c r="J43" s="204"/>
      <c r="K43" s="204"/>
      <c r="L43" s="204"/>
      <c r="M43" s="204"/>
      <c r="N43" s="204"/>
    </row>
    <row r="44" spans="1:14" x14ac:dyDescent="0.2">
      <c r="A44" t="s">
        <v>241</v>
      </c>
      <c r="B44" t="s">
        <v>165</v>
      </c>
      <c r="C44" s="204">
        <v>0.1283</v>
      </c>
      <c r="D44" s="204">
        <v>6.0699999999999997E-2</v>
      </c>
      <c r="E44" s="204">
        <v>5.4800000000000001E-2</v>
      </c>
      <c r="F44" s="204">
        <v>5.74E-2</v>
      </c>
      <c r="G44" s="204"/>
      <c r="H44" s="204"/>
      <c r="I44" s="204"/>
      <c r="J44" s="204"/>
      <c r="K44" s="204"/>
      <c r="L44" s="204"/>
      <c r="M44" s="204"/>
      <c r="N44" s="204"/>
    </row>
    <row r="45" spans="1:14" x14ac:dyDescent="0.2">
      <c r="A45" t="s">
        <v>242</v>
      </c>
      <c r="B45" t="s">
        <v>166</v>
      </c>
      <c r="C45" s="204">
        <v>4.1200000000000001E-2</v>
      </c>
      <c r="D45" s="204">
        <v>1.47E-2</v>
      </c>
      <c r="E45" s="204">
        <v>1.32E-2</v>
      </c>
      <c r="F45" s="204">
        <v>1.2999999999999999E-2</v>
      </c>
      <c r="G45" s="204"/>
      <c r="H45" s="204"/>
      <c r="I45" s="204"/>
      <c r="J45" s="204"/>
      <c r="K45" s="204"/>
      <c r="L45" s="204"/>
      <c r="M45" s="204"/>
      <c r="N45" s="204"/>
    </row>
    <row r="46" spans="1:14" x14ac:dyDescent="0.2">
      <c r="A46" t="s">
        <v>32</v>
      </c>
      <c r="B46" t="s">
        <v>33</v>
      </c>
      <c r="C46" s="204">
        <v>5.9999999999999995E-4</v>
      </c>
      <c r="D46" s="204">
        <v>6.3E-3</v>
      </c>
      <c r="E46" s="204">
        <v>5.7999999999999996E-3</v>
      </c>
      <c r="F46" s="204">
        <v>6.4999999999999997E-3</v>
      </c>
      <c r="G46" s="204"/>
      <c r="H46" s="204"/>
      <c r="I46" s="204"/>
      <c r="J46" s="204"/>
      <c r="K46" s="204"/>
      <c r="L46" s="204"/>
      <c r="M46" s="204"/>
      <c r="N46" s="204"/>
    </row>
    <row r="47" spans="1:14" x14ac:dyDescent="0.2">
      <c r="A47" t="s">
        <v>34</v>
      </c>
      <c r="B47" t="s">
        <v>35</v>
      </c>
      <c r="C47" s="204">
        <v>2.7E-2</v>
      </c>
      <c r="D47" s="204">
        <v>1.4999999999999999E-2</v>
      </c>
      <c r="E47" s="204">
        <v>1.4999999999999999E-2</v>
      </c>
      <c r="F47" s="204">
        <v>5.8999999999999999E-3</v>
      </c>
      <c r="G47" s="204"/>
      <c r="H47" s="204"/>
      <c r="I47" s="204"/>
      <c r="J47" s="204"/>
      <c r="K47" s="204"/>
      <c r="L47" s="204"/>
      <c r="M47" s="204"/>
      <c r="N47" s="204"/>
    </row>
    <row r="48" spans="1:14" x14ac:dyDescent="0.2">
      <c r="A48" t="s">
        <v>36</v>
      </c>
      <c r="B48" t="s">
        <v>37</v>
      </c>
      <c r="C48" s="204">
        <v>4.0899999999999999E-2</v>
      </c>
      <c r="D48" s="204">
        <v>9.1999999999999998E-3</v>
      </c>
      <c r="E48" s="204">
        <v>2.3999999999999998E-3</v>
      </c>
      <c r="F48" s="204">
        <v>1.4E-3</v>
      </c>
      <c r="G48" s="204"/>
      <c r="H48" s="204"/>
      <c r="I48" s="204"/>
      <c r="J48" s="204"/>
      <c r="K48" s="204"/>
      <c r="L48" s="204"/>
      <c r="M48" s="204"/>
      <c r="N48" s="204"/>
    </row>
    <row r="49" spans="1:14" x14ac:dyDescent="0.2">
      <c r="A49" t="s">
        <v>38</v>
      </c>
      <c r="B49" t="s">
        <v>227</v>
      </c>
      <c r="C49" s="204">
        <v>2.8899999999999999E-2</v>
      </c>
      <c r="D49" s="204">
        <v>2.0400000000000001E-2</v>
      </c>
      <c r="E49" s="204">
        <v>7.9000000000000008E-3</v>
      </c>
      <c r="F49" s="204">
        <v>7.1999999999999998E-3</v>
      </c>
      <c r="G49" s="204"/>
      <c r="H49" s="204"/>
      <c r="I49" s="204"/>
      <c r="J49" s="204"/>
      <c r="K49" s="204"/>
      <c r="L49" s="204"/>
      <c r="M49" s="204"/>
      <c r="N49" s="204"/>
    </row>
    <row r="50" spans="1:14" x14ac:dyDescent="0.2">
      <c r="A50" t="s">
        <v>40</v>
      </c>
      <c r="B50" t="s">
        <v>41</v>
      </c>
      <c r="C50" s="204">
        <v>2.2499999999999999E-2</v>
      </c>
      <c r="D50" s="204">
        <v>1.14E-2</v>
      </c>
      <c r="E50" s="204">
        <v>1.1900000000000001E-2</v>
      </c>
      <c r="F50" s="204">
        <v>4.0000000000000001E-3</v>
      </c>
      <c r="G50" s="204"/>
      <c r="H50" s="204"/>
      <c r="I50" s="204"/>
      <c r="J50" s="204"/>
      <c r="K50" s="204"/>
      <c r="L50" s="204"/>
      <c r="M50" s="204"/>
      <c r="N50" s="204"/>
    </row>
    <row r="51" spans="1:14" x14ac:dyDescent="0.2">
      <c r="A51" t="s">
        <v>42</v>
      </c>
      <c r="B51" t="s">
        <v>167</v>
      </c>
      <c r="C51" s="204">
        <v>3.8800000000000001E-2</v>
      </c>
      <c r="D51" s="204">
        <v>2.1999999999999999E-2</v>
      </c>
      <c r="E51" s="204">
        <v>1.5900000000000001E-2</v>
      </c>
      <c r="F51" s="204">
        <v>1.49E-2</v>
      </c>
      <c r="G51" s="204"/>
      <c r="H51" s="204"/>
      <c r="I51" s="204"/>
      <c r="J51" s="204"/>
      <c r="K51" s="204"/>
      <c r="L51" s="204"/>
      <c r="M51" s="204"/>
      <c r="N51" s="204"/>
    </row>
    <row r="52" spans="1:14" x14ac:dyDescent="0.2">
      <c r="A52" t="s">
        <v>243</v>
      </c>
      <c r="B52" t="s">
        <v>168</v>
      </c>
      <c r="C52" s="204">
        <v>3.8399999999999997E-2</v>
      </c>
      <c r="D52" s="204">
        <v>2.1999999999999999E-2</v>
      </c>
      <c r="E52" s="204">
        <v>1.5900000000000001E-2</v>
      </c>
      <c r="F52" s="204">
        <v>1.49E-2</v>
      </c>
      <c r="G52" s="204"/>
      <c r="H52" s="204"/>
      <c r="I52" s="204"/>
      <c r="J52" s="204"/>
      <c r="K52" s="204"/>
      <c r="L52" s="204"/>
      <c r="M52" s="204"/>
      <c r="N52" s="204"/>
    </row>
    <row r="53" spans="1:14" x14ac:dyDescent="0.2">
      <c r="A53" t="s">
        <v>244</v>
      </c>
      <c r="B53" t="s">
        <v>169</v>
      </c>
      <c r="C53" s="204">
        <v>5.4100000000000002E-2</v>
      </c>
      <c r="D53" s="204">
        <v>2.18E-2</v>
      </c>
      <c r="E53" s="204">
        <v>1.5900000000000001E-2</v>
      </c>
      <c r="F53" s="204">
        <v>1.49E-2</v>
      </c>
      <c r="G53" s="204"/>
      <c r="H53" s="204"/>
      <c r="I53" s="204"/>
      <c r="J53" s="204"/>
      <c r="K53" s="204"/>
      <c r="L53" s="204"/>
      <c r="M53" s="204"/>
      <c r="N53" s="204"/>
    </row>
    <row r="54" spans="1:14" x14ac:dyDescent="0.2">
      <c r="A54" t="s">
        <v>44</v>
      </c>
      <c r="B54" t="s">
        <v>45</v>
      </c>
      <c r="C54" s="204">
        <v>1.0800000000000001E-2</v>
      </c>
      <c r="D54" s="204">
        <v>9.1000000000000004E-3</v>
      </c>
      <c r="E54" s="204">
        <v>7.3000000000000001E-3</v>
      </c>
      <c r="F54" s="204">
        <v>9.4000000000000004E-3</v>
      </c>
      <c r="G54" s="204"/>
      <c r="H54" s="204"/>
      <c r="I54" s="204"/>
      <c r="J54" s="204"/>
      <c r="K54" s="204"/>
      <c r="L54" s="204"/>
      <c r="M54" s="204"/>
      <c r="N54" s="204"/>
    </row>
    <row r="55" spans="1:14" x14ac:dyDescent="0.2">
      <c r="A55" t="s">
        <v>46</v>
      </c>
      <c r="B55" t="s">
        <v>47</v>
      </c>
      <c r="C55" s="204">
        <v>1.03E-2</v>
      </c>
      <c r="D55" s="204">
        <v>1.34E-2</v>
      </c>
      <c r="E55" s="204">
        <v>1.37E-2</v>
      </c>
      <c r="F55" s="204">
        <v>0.01</v>
      </c>
      <c r="G55" s="204"/>
      <c r="H55" s="204"/>
      <c r="I55" s="204"/>
      <c r="J55" s="204"/>
      <c r="K55" s="204"/>
      <c r="L55" s="204"/>
      <c r="M55" s="204"/>
      <c r="N55" s="204"/>
    </row>
    <row r="56" spans="1:14" x14ac:dyDescent="0.2">
      <c r="A56" t="s">
        <v>48</v>
      </c>
      <c r="B56" t="s">
        <v>49</v>
      </c>
      <c r="C56" s="204">
        <v>1.9699999999999999E-2</v>
      </c>
      <c r="D56" s="204">
        <v>1.3100000000000001E-2</v>
      </c>
      <c r="E56" s="204">
        <v>7.0000000000000001E-3</v>
      </c>
      <c r="F56" s="204">
        <v>7.0000000000000001E-3</v>
      </c>
      <c r="G56" s="204"/>
      <c r="H56" s="204"/>
      <c r="I56" s="204"/>
      <c r="J56" s="204"/>
      <c r="K56" s="204"/>
      <c r="L56" s="204"/>
      <c r="M56" s="204"/>
      <c r="N56" s="204"/>
    </row>
    <row r="57" spans="1:14" x14ac:dyDescent="0.2">
      <c r="A57" t="s">
        <v>50</v>
      </c>
      <c r="B57" t="s">
        <v>51</v>
      </c>
      <c r="C57" s="204">
        <v>2.0199999999999999E-2</v>
      </c>
      <c r="D57" s="204">
        <v>1.5800000000000002E-2</v>
      </c>
      <c r="E57" s="204">
        <v>1.2200000000000001E-2</v>
      </c>
      <c r="F57" s="204">
        <v>1.0800000000000001E-2</v>
      </c>
      <c r="G57" s="204"/>
      <c r="H57" s="204"/>
      <c r="I57" s="204"/>
      <c r="J57" s="204"/>
      <c r="K57" s="204"/>
      <c r="L57" s="204"/>
      <c r="M57" s="204"/>
      <c r="N57" s="204"/>
    </row>
    <row r="58" spans="1:14" x14ac:dyDescent="0.2">
      <c r="A58" t="s">
        <v>52</v>
      </c>
      <c r="B58" t="s">
        <v>53</v>
      </c>
      <c r="C58" s="204">
        <v>1.6500000000000001E-2</v>
      </c>
      <c r="D58" s="204">
        <v>6.6E-3</v>
      </c>
      <c r="E58" s="204">
        <v>7.4999999999999997E-3</v>
      </c>
      <c r="F58" s="204">
        <v>7.1000000000000004E-3</v>
      </c>
      <c r="G58" s="204"/>
      <c r="H58" s="204"/>
      <c r="I58" s="204"/>
      <c r="J58" s="204"/>
      <c r="K58" s="204"/>
      <c r="L58" s="204"/>
      <c r="M58" s="204"/>
      <c r="N58" s="204"/>
    </row>
    <row r="59" spans="1:14" x14ac:dyDescent="0.2">
      <c r="A59" t="s">
        <v>54</v>
      </c>
      <c r="B59" t="s">
        <v>55</v>
      </c>
      <c r="C59" s="204">
        <v>1.8800000000000001E-2</v>
      </c>
      <c r="D59" s="204">
        <v>1.38E-2</v>
      </c>
      <c r="E59" s="204">
        <v>1.38E-2</v>
      </c>
      <c r="F59" s="204">
        <v>7.6E-3</v>
      </c>
      <c r="G59" s="204"/>
      <c r="H59" s="204"/>
      <c r="I59" s="204"/>
      <c r="J59" s="204"/>
      <c r="K59" s="204"/>
      <c r="L59" s="204"/>
      <c r="M59" s="204"/>
      <c r="N59" s="204"/>
    </row>
    <row r="60" spans="1:14" x14ac:dyDescent="0.2">
      <c r="A60" t="s">
        <v>56</v>
      </c>
      <c r="B60" t="s">
        <v>57</v>
      </c>
      <c r="C60" s="204">
        <v>1.7999999999999999E-2</v>
      </c>
      <c r="D60" s="204">
        <v>1.2E-2</v>
      </c>
      <c r="E60" s="204">
        <v>1.4999999999999999E-2</v>
      </c>
      <c r="F60" s="204">
        <v>1.43E-2</v>
      </c>
      <c r="G60" s="204"/>
      <c r="H60" s="204"/>
      <c r="I60" s="204"/>
      <c r="J60" s="204"/>
      <c r="K60" s="204"/>
      <c r="L60" s="204"/>
      <c r="M60" s="204"/>
      <c r="N60" s="204"/>
    </row>
    <row r="61" spans="1:14" x14ac:dyDescent="0.2">
      <c r="A61" t="s">
        <v>58</v>
      </c>
      <c r="B61" t="s">
        <v>59</v>
      </c>
      <c r="C61" s="204">
        <v>3.2899999999999999E-2</v>
      </c>
      <c r="D61" s="204">
        <v>2.3099999999999999E-2</v>
      </c>
      <c r="E61" s="204">
        <v>2.06E-2</v>
      </c>
      <c r="F61" s="204">
        <v>1.4200000000000001E-2</v>
      </c>
      <c r="G61" s="204"/>
      <c r="H61" s="204"/>
      <c r="I61" s="204"/>
      <c r="J61" s="204"/>
      <c r="K61" s="204"/>
      <c r="L61" s="204"/>
      <c r="M61" s="204"/>
      <c r="N61" s="204"/>
    </row>
    <row r="62" spans="1:14" x14ac:dyDescent="0.2">
      <c r="A62" t="s">
        <v>60</v>
      </c>
      <c r="B62" t="s">
        <v>61</v>
      </c>
      <c r="C62" s="204">
        <v>3.5499999999999997E-2</v>
      </c>
      <c r="D62" s="204">
        <v>2.5000000000000001E-2</v>
      </c>
      <c r="E62" s="204">
        <v>0.02</v>
      </c>
      <c r="F62" s="204">
        <v>0.02</v>
      </c>
      <c r="G62" s="204"/>
      <c r="H62" s="204"/>
      <c r="I62" s="204"/>
      <c r="J62" s="204"/>
      <c r="K62" s="204"/>
      <c r="L62" s="204"/>
      <c r="M62" s="204"/>
      <c r="N62" s="204"/>
    </row>
    <row r="63" spans="1:14" x14ac:dyDescent="0.2">
      <c r="A63" t="s">
        <v>62</v>
      </c>
      <c r="B63" t="s">
        <v>63</v>
      </c>
      <c r="C63" s="204">
        <v>1.84E-2</v>
      </c>
      <c r="D63" s="204">
        <v>1.55E-2</v>
      </c>
      <c r="E63" s="204">
        <v>2.47E-2</v>
      </c>
      <c r="F63" s="204">
        <v>1.0999999999999999E-2</v>
      </c>
      <c r="G63" s="204"/>
      <c r="H63" s="204"/>
      <c r="I63" s="204"/>
      <c r="J63" s="204"/>
      <c r="K63" s="204"/>
      <c r="L63" s="204"/>
      <c r="M63" s="204"/>
      <c r="N63" s="204"/>
    </row>
    <row r="64" spans="1:14" x14ac:dyDescent="0.2">
      <c r="A64" t="s">
        <v>64</v>
      </c>
      <c r="B64" t="s">
        <v>65</v>
      </c>
      <c r="C64" s="204">
        <v>3.6499999999999998E-2</v>
      </c>
      <c r="D64" s="204">
        <v>3.2899999999999999E-2</v>
      </c>
      <c r="E64" s="204">
        <v>2.3400000000000001E-2</v>
      </c>
      <c r="F64" s="204">
        <v>1.84E-2</v>
      </c>
      <c r="G64" s="204"/>
      <c r="H64" s="204"/>
      <c r="I64" s="204"/>
      <c r="J64" s="204"/>
      <c r="K64" s="204"/>
      <c r="L64" s="204"/>
      <c r="M64" s="204"/>
      <c r="N64" s="204"/>
    </row>
    <row r="65" spans="1:14" x14ac:dyDescent="0.2">
      <c r="A65" t="s">
        <v>66</v>
      </c>
      <c r="B65" t="s">
        <v>67</v>
      </c>
      <c r="C65" s="204">
        <v>1.47E-2</v>
      </c>
      <c r="D65" s="204">
        <v>9.4999999999999998E-3</v>
      </c>
      <c r="E65" s="204">
        <v>1.1599999999999999E-2</v>
      </c>
      <c r="F65" s="204">
        <v>5.0000000000000001E-3</v>
      </c>
      <c r="G65" s="204"/>
      <c r="H65" s="204"/>
      <c r="I65" s="204"/>
      <c r="J65" s="204"/>
      <c r="K65" s="204"/>
      <c r="L65" s="204"/>
      <c r="M65" s="204"/>
      <c r="N65" s="204"/>
    </row>
    <row r="66" spans="1:14" x14ac:dyDescent="0.2">
      <c r="A66" t="s">
        <v>68</v>
      </c>
      <c r="B66" t="s">
        <v>69</v>
      </c>
      <c r="C66" s="204">
        <v>1.32E-2</v>
      </c>
      <c r="D66" s="204">
        <v>1.5100000000000001E-2</v>
      </c>
      <c r="E66" s="204">
        <v>9.4000000000000004E-3</v>
      </c>
      <c r="F66" s="204">
        <v>4.7999999999999996E-3</v>
      </c>
      <c r="G66" s="204"/>
      <c r="H66" s="204"/>
      <c r="I66" s="204"/>
      <c r="J66" s="204"/>
      <c r="K66" s="204"/>
      <c r="L66" s="204"/>
      <c r="M66" s="204"/>
      <c r="N66" s="204"/>
    </row>
    <row r="67" spans="1:14" x14ac:dyDescent="0.2">
      <c r="A67" t="s">
        <v>70</v>
      </c>
      <c r="B67" t="s">
        <v>71</v>
      </c>
      <c r="C67" s="204">
        <v>0.01</v>
      </c>
      <c r="D67" s="204">
        <v>8.0000000000000002E-3</v>
      </c>
      <c r="E67" s="204">
        <v>1.61E-2</v>
      </c>
      <c r="F67" s="204">
        <v>0</v>
      </c>
      <c r="G67" s="204"/>
      <c r="H67" s="204"/>
      <c r="I67" s="204"/>
      <c r="J67" s="204"/>
      <c r="K67" s="204"/>
      <c r="L67" s="204"/>
      <c r="M67" s="204"/>
      <c r="N67" s="204"/>
    </row>
    <row r="68" spans="1:14" x14ac:dyDescent="0.2">
      <c r="A68" t="s">
        <v>72</v>
      </c>
      <c r="B68" t="s">
        <v>73</v>
      </c>
      <c r="C68" s="204">
        <v>5.1999999999999998E-3</v>
      </c>
      <c r="D68" s="204">
        <v>7.6E-3</v>
      </c>
      <c r="E68" s="204">
        <v>9.2999999999999992E-3</v>
      </c>
      <c r="F68" s="204">
        <v>1.38E-2</v>
      </c>
      <c r="G68" s="204"/>
      <c r="H68" s="204"/>
      <c r="I68" s="204"/>
      <c r="J68" s="204"/>
      <c r="K68" s="204"/>
      <c r="L68" s="204"/>
      <c r="M68" s="204"/>
      <c r="N68" s="204"/>
    </row>
    <row r="69" spans="1:14" x14ac:dyDescent="0.2">
      <c r="A69" t="s">
        <v>74</v>
      </c>
      <c r="B69" t="s">
        <v>75</v>
      </c>
      <c r="C69" s="204">
        <v>2.3E-3</v>
      </c>
      <c r="D69" s="204">
        <v>3.5000000000000001E-3</v>
      </c>
      <c r="E69" s="204">
        <v>9.2999999999999992E-3</v>
      </c>
      <c r="F69" s="204">
        <v>3.5999999999999999E-3</v>
      </c>
      <c r="G69" s="204"/>
      <c r="H69" s="204"/>
      <c r="I69" s="204"/>
      <c r="J69" s="204"/>
      <c r="K69" s="204"/>
      <c r="L69" s="204"/>
      <c r="M69" s="204"/>
      <c r="N69" s="204"/>
    </row>
    <row r="70" spans="1:14" x14ac:dyDescent="0.2">
      <c r="A70" t="s">
        <v>76</v>
      </c>
      <c r="B70" t="s">
        <v>77</v>
      </c>
      <c r="C70" s="204">
        <v>5.1000000000000004E-3</v>
      </c>
      <c r="D70" s="204">
        <v>2.3999999999999998E-3</v>
      </c>
      <c r="E70" s="204">
        <v>3.5000000000000001E-3</v>
      </c>
      <c r="F70" s="204">
        <v>3.2000000000000002E-3</v>
      </c>
      <c r="G70" s="204"/>
      <c r="H70" s="204"/>
      <c r="I70" s="204"/>
      <c r="J70" s="204"/>
      <c r="K70" s="204"/>
      <c r="L70" s="204"/>
      <c r="M70" s="204"/>
      <c r="N70" s="204"/>
    </row>
    <row r="71" spans="1:14" x14ac:dyDescent="0.2">
      <c r="A71" t="s">
        <v>78</v>
      </c>
      <c r="B71" t="s">
        <v>79</v>
      </c>
      <c r="C71" s="204">
        <v>3.3399999999999999E-2</v>
      </c>
      <c r="D71" s="204">
        <v>1.6899999999999998E-2</v>
      </c>
      <c r="E71" s="204">
        <v>2.58E-2</v>
      </c>
      <c r="F71" s="204">
        <v>1.47E-2</v>
      </c>
      <c r="G71" s="204"/>
      <c r="H71" s="204"/>
      <c r="I71" s="204"/>
      <c r="J71" s="204"/>
      <c r="K71" s="204"/>
      <c r="L71" s="204"/>
      <c r="M71" s="204"/>
      <c r="N71" s="204"/>
    </row>
    <row r="72" spans="1:14" x14ac:dyDescent="0.2">
      <c r="A72" t="s">
        <v>80</v>
      </c>
      <c r="B72" t="s">
        <v>81</v>
      </c>
      <c r="C72" s="204">
        <v>5.74E-2</v>
      </c>
      <c r="D72" s="204">
        <v>5.7299999999999997E-2</v>
      </c>
      <c r="E72" s="204">
        <v>4.9200000000000001E-2</v>
      </c>
      <c r="F72" s="204">
        <v>2.4299999999999999E-2</v>
      </c>
      <c r="G72" s="204"/>
      <c r="H72" s="204"/>
      <c r="I72" s="204"/>
      <c r="J72" s="204"/>
      <c r="K72" s="204"/>
      <c r="L72" s="204"/>
      <c r="M72" s="204"/>
      <c r="N72" s="204"/>
    </row>
    <row r="73" spans="1:14" x14ac:dyDescent="0.2">
      <c r="A73" t="s">
        <v>82</v>
      </c>
      <c r="B73" t="s">
        <v>83</v>
      </c>
      <c r="C73" s="204">
        <v>1.09E-2</v>
      </c>
      <c r="D73" s="204">
        <v>9.5999999999999992E-3</v>
      </c>
      <c r="E73" s="204">
        <v>5.4000000000000003E-3</v>
      </c>
      <c r="F73" s="204">
        <v>6.1000000000000004E-3</v>
      </c>
      <c r="G73" s="204"/>
      <c r="H73" s="204"/>
      <c r="I73" s="204"/>
      <c r="J73" s="204"/>
      <c r="K73" s="204"/>
      <c r="L73" s="204"/>
      <c r="M73" s="204"/>
      <c r="N73" s="204"/>
    </row>
    <row r="74" spans="1:14" x14ac:dyDescent="0.2">
      <c r="A74" t="s">
        <v>84</v>
      </c>
      <c r="B74" t="s">
        <v>85</v>
      </c>
      <c r="C74" s="204">
        <v>4.9700000000000001E-2</v>
      </c>
      <c r="D74" s="204">
        <v>2.4E-2</v>
      </c>
      <c r="E74" s="204">
        <v>2.3E-2</v>
      </c>
      <c r="F74" s="204">
        <v>0.02</v>
      </c>
      <c r="G74" s="204"/>
      <c r="H74" s="204"/>
      <c r="I74" s="204"/>
      <c r="J74" s="204"/>
      <c r="K74" s="204"/>
      <c r="L74" s="204"/>
      <c r="M74" s="204"/>
      <c r="N74" s="204"/>
    </row>
    <row r="75" spans="1:14" x14ac:dyDescent="0.2">
      <c r="A75" t="s">
        <v>86</v>
      </c>
      <c r="B75" t="s">
        <v>87</v>
      </c>
      <c r="C75" s="204">
        <v>1.9E-2</v>
      </c>
      <c r="D75" s="204">
        <v>3.4000000000000002E-2</v>
      </c>
      <c r="E75" s="204">
        <v>3.6700000000000003E-2</v>
      </c>
      <c r="F75" s="204">
        <v>1.3899999999999999E-2</v>
      </c>
      <c r="G75" s="204"/>
      <c r="H75" s="204"/>
      <c r="I75" s="204"/>
      <c r="J75" s="204"/>
      <c r="K75" s="204"/>
      <c r="L75" s="204"/>
      <c r="M75" s="204"/>
      <c r="N75" s="204"/>
    </row>
    <row r="76" spans="1:14" x14ac:dyDescent="0.2">
      <c r="A76" t="s">
        <v>88</v>
      </c>
      <c r="B76" t="s">
        <v>89</v>
      </c>
      <c r="C76" s="204">
        <v>1.66E-2</v>
      </c>
      <c r="D76" s="204">
        <v>1.15E-2</v>
      </c>
      <c r="E76" s="204">
        <v>9.1999999999999998E-3</v>
      </c>
      <c r="F76" s="204">
        <v>8.6E-3</v>
      </c>
      <c r="G76" s="204"/>
      <c r="H76" s="204"/>
      <c r="I76" s="204"/>
      <c r="J76" s="204"/>
      <c r="K76" s="204"/>
      <c r="L76" s="204"/>
      <c r="M76" s="204"/>
      <c r="N76" s="204"/>
    </row>
    <row r="77" spans="1:14" x14ac:dyDescent="0.2">
      <c r="A77" t="s">
        <v>90</v>
      </c>
      <c r="B77" t="s">
        <v>170</v>
      </c>
      <c r="C77" s="204">
        <v>2.86E-2</v>
      </c>
      <c r="D77" s="204">
        <v>2.3699999999999999E-2</v>
      </c>
      <c r="E77" s="204">
        <v>1.5800000000000002E-2</v>
      </c>
      <c r="F77" s="204">
        <v>1.5299999999999999E-2</v>
      </c>
      <c r="G77" s="204"/>
      <c r="H77" s="204"/>
      <c r="I77" s="204"/>
      <c r="J77" s="204"/>
      <c r="K77" s="204"/>
      <c r="L77" s="204"/>
      <c r="M77" s="204"/>
      <c r="N77" s="204"/>
    </row>
    <row r="78" spans="1:14" x14ac:dyDescent="0.2">
      <c r="A78" t="s">
        <v>245</v>
      </c>
      <c r="B78" t="s">
        <v>171</v>
      </c>
      <c r="C78" s="204">
        <v>5.8200000000000002E-2</v>
      </c>
      <c r="D78" s="204">
        <v>5.5599999999999997E-2</v>
      </c>
      <c r="E78" s="204">
        <v>3.1E-2</v>
      </c>
      <c r="F78" s="204">
        <v>2.92E-2</v>
      </c>
      <c r="G78" s="204"/>
      <c r="H78" s="204"/>
      <c r="I78" s="204"/>
      <c r="J78" s="204"/>
      <c r="K78" s="204"/>
      <c r="L78" s="204"/>
      <c r="M78" s="204"/>
      <c r="N78" s="204"/>
    </row>
    <row r="79" spans="1:14" x14ac:dyDescent="0.2">
      <c r="A79" t="s">
        <v>246</v>
      </c>
      <c r="B79" t="s">
        <v>172</v>
      </c>
      <c r="C79" s="204">
        <v>1.4500000000000001E-2</v>
      </c>
      <c r="D79" s="204">
        <v>1.32E-2</v>
      </c>
      <c r="E79" s="204">
        <v>8.2000000000000007E-3</v>
      </c>
      <c r="F79" s="204">
        <v>1.2999999999999999E-2</v>
      </c>
      <c r="G79" s="204"/>
      <c r="H79" s="204"/>
      <c r="I79" s="204"/>
      <c r="J79" s="204"/>
      <c r="K79" s="204"/>
      <c r="L79" s="204"/>
      <c r="M79" s="204"/>
      <c r="N79" s="204"/>
    </row>
    <row r="80" spans="1:14" x14ac:dyDescent="0.2">
      <c r="A80" t="s">
        <v>92</v>
      </c>
      <c r="B80" t="s">
        <v>93</v>
      </c>
      <c r="C80" s="204">
        <v>2.69E-2</v>
      </c>
      <c r="D80" s="204">
        <v>2.06E-2</v>
      </c>
      <c r="E80" s="204">
        <v>1.78E-2</v>
      </c>
      <c r="F80" s="204">
        <v>9.7999999999999997E-3</v>
      </c>
      <c r="G80" s="204"/>
      <c r="H80" s="204"/>
      <c r="I80" s="204"/>
      <c r="J80" s="204"/>
      <c r="K80" s="204"/>
      <c r="L80" s="204"/>
      <c r="M80" s="204"/>
      <c r="N80" s="204"/>
    </row>
    <row r="81" spans="1:14" x14ac:dyDescent="0.2">
      <c r="A81" t="s">
        <v>94</v>
      </c>
      <c r="B81" t="s">
        <v>95</v>
      </c>
      <c r="C81" s="204">
        <v>2.0500000000000001E-2</v>
      </c>
      <c r="D81" s="204">
        <v>1.72E-2</v>
      </c>
      <c r="E81" s="204">
        <v>9.4000000000000004E-3</v>
      </c>
      <c r="F81" s="204">
        <v>6.4000000000000003E-3</v>
      </c>
      <c r="G81" s="204"/>
      <c r="H81" s="204"/>
      <c r="I81" s="204"/>
      <c r="J81" s="204"/>
      <c r="K81" s="204"/>
      <c r="L81" s="204"/>
      <c r="M81" s="204"/>
      <c r="N81" s="204"/>
    </row>
    <row r="82" spans="1:14" x14ac:dyDescent="0.2">
      <c r="A82" t="s">
        <v>96</v>
      </c>
      <c r="B82" t="s">
        <v>97</v>
      </c>
      <c r="C82" s="204">
        <v>2.5700000000000001E-2</v>
      </c>
      <c r="D82" s="204">
        <v>1.37E-2</v>
      </c>
      <c r="E82" s="204">
        <v>1.38E-2</v>
      </c>
      <c r="F82" s="204">
        <v>3.8600000000000002E-2</v>
      </c>
      <c r="G82" s="204"/>
      <c r="H82" s="204"/>
      <c r="I82" s="204"/>
      <c r="J82" s="204"/>
      <c r="K82" s="204"/>
      <c r="L82" s="204"/>
      <c r="M82" s="204"/>
      <c r="N82" s="204"/>
    </row>
    <row r="83" spans="1:14" x14ac:dyDescent="0.2">
      <c r="A83" t="s">
        <v>98</v>
      </c>
      <c r="B83" t="s">
        <v>99</v>
      </c>
      <c r="C83" s="204">
        <v>1.4500000000000001E-2</v>
      </c>
      <c r="D83" s="204">
        <v>1.7899999999999999E-2</v>
      </c>
      <c r="E83" s="204">
        <v>1.47E-2</v>
      </c>
      <c r="F83" s="204">
        <v>1.2699999999999999E-2</v>
      </c>
      <c r="G83" s="204"/>
      <c r="H83" s="204"/>
      <c r="I83" s="204"/>
      <c r="J83" s="204"/>
      <c r="K83" s="204"/>
      <c r="L83" s="204"/>
      <c r="M83" s="204"/>
      <c r="N83" s="204"/>
    </row>
    <row r="84" spans="1:14" x14ac:dyDescent="0.2">
      <c r="A84" t="s">
        <v>100</v>
      </c>
      <c r="B84" t="s">
        <v>101</v>
      </c>
      <c r="C84" s="204">
        <v>3.6400000000000002E-2</v>
      </c>
      <c r="D84" s="204">
        <v>2.7699999999999999E-2</v>
      </c>
      <c r="E84" s="204">
        <v>3.5099999999999999E-2</v>
      </c>
      <c r="F84" s="204">
        <v>1.54E-2</v>
      </c>
      <c r="G84" s="204"/>
      <c r="H84" s="204"/>
      <c r="I84" s="204"/>
      <c r="J84" s="204"/>
      <c r="K84" s="204"/>
      <c r="L84" s="204"/>
      <c r="M84" s="204"/>
      <c r="N84" s="204"/>
    </row>
    <row r="85" spans="1:14" x14ac:dyDescent="0.2">
      <c r="A85" t="s">
        <v>102</v>
      </c>
      <c r="B85" t="s">
        <v>103</v>
      </c>
      <c r="C85" s="204">
        <v>1.67E-2</v>
      </c>
      <c r="D85" s="204">
        <v>1.38E-2</v>
      </c>
      <c r="E85" s="204">
        <v>1.2999999999999999E-2</v>
      </c>
      <c r="F85" s="204">
        <v>1.11E-2</v>
      </c>
      <c r="G85" s="204"/>
      <c r="H85" s="204"/>
      <c r="I85" s="204"/>
      <c r="J85" s="204"/>
      <c r="K85" s="204"/>
      <c r="L85" s="204"/>
      <c r="M85" s="204"/>
      <c r="N85" s="204"/>
    </row>
    <row r="86" spans="1:14" x14ac:dyDescent="0.2">
      <c r="A86" t="s">
        <v>104</v>
      </c>
      <c r="B86" t="s">
        <v>105</v>
      </c>
      <c r="C86" s="204">
        <v>1.9300000000000001E-2</v>
      </c>
      <c r="D86" s="204">
        <v>1.77E-2</v>
      </c>
      <c r="E86" s="204">
        <v>1.4500000000000001E-2</v>
      </c>
      <c r="F86" s="204">
        <v>1.2999999999999999E-2</v>
      </c>
      <c r="G86" s="204"/>
      <c r="H86" s="204"/>
      <c r="I86" s="204"/>
      <c r="J86" s="204"/>
      <c r="K86" s="204"/>
      <c r="L86" s="204"/>
      <c r="M86" s="204"/>
      <c r="N86" s="204"/>
    </row>
    <row r="87" spans="1:14" x14ac:dyDescent="0.2">
      <c r="A87" t="s">
        <v>106</v>
      </c>
      <c r="B87" t="s">
        <v>107</v>
      </c>
      <c r="C87" s="204">
        <v>1.0999999999999999E-2</v>
      </c>
      <c r="D87" s="204">
        <v>0.01</v>
      </c>
      <c r="E87" s="204">
        <v>1.01E-2</v>
      </c>
      <c r="F87" s="204">
        <v>8.0000000000000002E-3</v>
      </c>
      <c r="G87" s="204"/>
      <c r="H87" s="204"/>
      <c r="I87" s="204"/>
      <c r="J87" s="204"/>
      <c r="K87" s="204"/>
      <c r="L87" s="204"/>
      <c r="M87" s="204"/>
      <c r="N87" s="204"/>
    </row>
    <row r="88" spans="1:14" x14ac:dyDescent="0.2">
      <c r="A88" t="s">
        <v>108</v>
      </c>
      <c r="B88" t="s">
        <v>109</v>
      </c>
      <c r="C88" s="204">
        <v>1.5900000000000001E-2</v>
      </c>
      <c r="D88" s="204">
        <v>1.32E-2</v>
      </c>
      <c r="E88" s="204">
        <v>1.2200000000000001E-2</v>
      </c>
      <c r="F88" s="204">
        <v>1.34E-2</v>
      </c>
      <c r="G88" s="204"/>
      <c r="H88" s="204"/>
      <c r="I88" s="204"/>
      <c r="J88" s="204"/>
      <c r="K88" s="204"/>
      <c r="L88" s="204"/>
      <c r="M88" s="204"/>
      <c r="N88" s="204"/>
    </row>
    <row r="89" spans="1:14" x14ac:dyDescent="0.2">
      <c r="A89" t="s">
        <v>110</v>
      </c>
      <c r="B89" t="s">
        <v>111</v>
      </c>
      <c r="C89" s="204">
        <v>2.1299999999999999E-2</v>
      </c>
      <c r="D89" s="204">
        <v>2.0500000000000001E-2</v>
      </c>
      <c r="E89" s="204">
        <v>1.4800000000000001E-2</v>
      </c>
      <c r="F89" s="204">
        <v>1.9699999999999999E-2</v>
      </c>
      <c r="G89" s="204"/>
      <c r="H89" s="204"/>
      <c r="I89" s="204"/>
      <c r="J89" s="204"/>
      <c r="K89" s="204"/>
      <c r="L89" s="204"/>
      <c r="M89" s="204"/>
      <c r="N89" s="204"/>
    </row>
    <row r="90" spans="1:14" x14ac:dyDescent="0.2">
      <c r="A90" t="s">
        <v>112</v>
      </c>
      <c r="B90" t="s">
        <v>113</v>
      </c>
      <c r="C90" s="204">
        <v>7.3000000000000001E-3</v>
      </c>
      <c r="D90" s="204">
        <v>1.6199999999999999E-2</v>
      </c>
      <c r="E90" s="204">
        <v>9.9000000000000008E-3</v>
      </c>
      <c r="F90" s="204">
        <v>7.4999999999999997E-3</v>
      </c>
      <c r="G90" s="204"/>
      <c r="H90" s="204"/>
      <c r="I90" s="204"/>
      <c r="J90" s="204"/>
      <c r="K90" s="204"/>
      <c r="L90" s="204"/>
      <c r="M90" s="204"/>
      <c r="N90" s="204"/>
    </row>
    <row r="91" spans="1:14" x14ac:dyDescent="0.2">
      <c r="A91" t="s">
        <v>114</v>
      </c>
      <c r="B91" t="s">
        <v>115</v>
      </c>
      <c r="C91" s="204">
        <v>9.5999999999999992E-3</v>
      </c>
      <c r="D91" s="204">
        <v>1.35E-2</v>
      </c>
      <c r="E91" s="204">
        <v>1.9800000000000002E-2</v>
      </c>
      <c r="F91" s="204">
        <v>1.4999999999999999E-2</v>
      </c>
      <c r="G91" s="204"/>
      <c r="H91" s="204"/>
      <c r="I91" s="204"/>
      <c r="J91" s="204"/>
      <c r="K91" s="204"/>
      <c r="L91" s="204"/>
      <c r="M91" s="204"/>
      <c r="N91" s="204"/>
    </row>
    <row r="92" spans="1:14" x14ac:dyDescent="0.2">
      <c r="A92" t="s">
        <v>116</v>
      </c>
      <c r="B92" t="s">
        <v>117</v>
      </c>
      <c r="C92" s="204">
        <v>3.0800000000000001E-2</v>
      </c>
      <c r="D92" s="204">
        <v>1.0800000000000001E-2</v>
      </c>
      <c r="E92" s="204">
        <v>8.8000000000000005E-3</v>
      </c>
      <c r="F92" s="204">
        <v>3.7000000000000002E-3</v>
      </c>
      <c r="G92" s="204"/>
      <c r="H92" s="204"/>
      <c r="I92" s="204"/>
      <c r="J92" s="204"/>
      <c r="K92" s="204"/>
      <c r="L92" s="204"/>
      <c r="M92" s="204"/>
      <c r="N92" s="204"/>
    </row>
    <row r="93" spans="1:14" x14ac:dyDescent="0.2">
      <c r="A93" t="s">
        <v>118</v>
      </c>
      <c r="B93" t="s">
        <v>119</v>
      </c>
      <c r="C93" s="204">
        <v>8.9999999999999993E-3</v>
      </c>
      <c r="D93" s="204">
        <v>9.9000000000000008E-3</v>
      </c>
      <c r="E93" s="204">
        <v>8.3999999999999995E-3</v>
      </c>
      <c r="F93" s="204">
        <v>7.7000000000000002E-3</v>
      </c>
      <c r="G93" s="204"/>
      <c r="H93" s="204"/>
      <c r="I93" s="204"/>
      <c r="J93" s="204"/>
      <c r="K93" s="204"/>
      <c r="L93" s="204"/>
      <c r="M93" s="204"/>
      <c r="N93" s="204"/>
    </row>
    <row r="94" spans="1:14" x14ac:dyDescent="0.2">
      <c r="A94" t="s">
        <v>120</v>
      </c>
      <c r="B94" t="s">
        <v>121</v>
      </c>
      <c r="C94" s="204">
        <v>1.0800000000000001E-2</v>
      </c>
      <c r="D94" s="204">
        <v>1.2E-2</v>
      </c>
      <c r="E94" s="204">
        <v>8.5000000000000006E-3</v>
      </c>
      <c r="F94" s="204">
        <v>1.2E-2</v>
      </c>
      <c r="G94" s="204"/>
      <c r="H94" s="204"/>
      <c r="I94" s="204"/>
      <c r="J94" s="204"/>
      <c r="K94" s="204"/>
      <c r="L94" s="204"/>
      <c r="M94" s="204"/>
      <c r="N94" s="204"/>
    </row>
    <row r="95" spans="1:14" x14ac:dyDescent="0.2">
      <c r="A95" t="s">
        <v>122</v>
      </c>
      <c r="B95" t="s">
        <v>123</v>
      </c>
      <c r="C95" s="204">
        <v>6.7000000000000002E-3</v>
      </c>
      <c r="D95" s="204">
        <v>1.0500000000000001E-2</v>
      </c>
      <c r="E95" s="204">
        <v>1.1900000000000001E-2</v>
      </c>
      <c r="F95" s="204">
        <v>2.9499999999999998E-2</v>
      </c>
      <c r="G95" s="204"/>
      <c r="H95" s="204"/>
      <c r="I95" s="204"/>
      <c r="J95" s="204"/>
      <c r="K95" s="204"/>
      <c r="L95" s="204"/>
      <c r="M95" s="204"/>
      <c r="N95" s="204"/>
    </row>
    <row r="96" spans="1:14" x14ac:dyDescent="0.2">
      <c r="A96" t="s">
        <v>124</v>
      </c>
      <c r="B96" t="s">
        <v>173</v>
      </c>
      <c r="C96" s="204">
        <v>5.2499999999999998E-2</v>
      </c>
      <c r="D96" s="204">
        <v>5.5899999999999998E-2</v>
      </c>
      <c r="E96" s="204">
        <v>4.07E-2</v>
      </c>
      <c r="F96" s="204">
        <v>2.93E-2</v>
      </c>
      <c r="G96" s="204"/>
      <c r="H96" s="204"/>
      <c r="I96" s="204"/>
      <c r="J96" s="204"/>
      <c r="K96" s="204"/>
      <c r="L96" s="204"/>
      <c r="M96" s="204"/>
      <c r="N96" s="204"/>
    </row>
    <row r="97" spans="1:14" x14ac:dyDescent="0.2">
      <c r="A97" t="s">
        <v>247</v>
      </c>
      <c r="B97" t="s">
        <v>174</v>
      </c>
      <c r="C97" s="204">
        <v>4.5199999999999997E-2</v>
      </c>
      <c r="D97" s="204">
        <v>4.3099999999999999E-2</v>
      </c>
      <c r="E97" s="204">
        <v>3.5099999999999999E-2</v>
      </c>
      <c r="F97" s="204">
        <v>2.6599999999999999E-2</v>
      </c>
      <c r="G97" s="204"/>
      <c r="H97" s="204"/>
      <c r="I97" s="204"/>
      <c r="J97" s="204"/>
      <c r="K97" s="204"/>
      <c r="L97" s="204"/>
      <c r="M97" s="204"/>
      <c r="N97" s="204"/>
    </row>
    <row r="98" spans="1:14" x14ac:dyDescent="0.2">
      <c r="A98" t="s">
        <v>248</v>
      </c>
      <c r="B98" t="s">
        <v>175</v>
      </c>
      <c r="C98" s="204">
        <v>5.91E-2</v>
      </c>
      <c r="D98" s="204">
        <v>4.0599999999999997E-2</v>
      </c>
      <c r="E98" s="204">
        <v>3.4000000000000002E-2</v>
      </c>
      <c r="F98" s="204">
        <v>2.18E-2</v>
      </c>
      <c r="G98" s="204"/>
      <c r="H98" s="204"/>
      <c r="I98" s="204"/>
      <c r="J98" s="204"/>
      <c r="K98" s="204"/>
      <c r="L98" s="204"/>
      <c r="M98" s="204"/>
      <c r="N98" s="204"/>
    </row>
    <row r="99" spans="1:14" x14ac:dyDescent="0.2">
      <c r="A99" t="s">
        <v>249</v>
      </c>
      <c r="B99" t="s">
        <v>176</v>
      </c>
      <c r="C99" s="204">
        <v>5.1799999999999999E-2</v>
      </c>
      <c r="D99" s="204">
        <v>4.6899999999999997E-2</v>
      </c>
      <c r="E99" s="204">
        <v>3.6799999999999999E-2</v>
      </c>
      <c r="F99" s="204">
        <v>2.7E-2</v>
      </c>
      <c r="G99" s="204"/>
      <c r="H99" s="204"/>
      <c r="I99" s="204"/>
      <c r="J99" s="204"/>
      <c r="K99" s="204"/>
      <c r="L99" s="204"/>
      <c r="M99" s="204"/>
      <c r="N99" s="204"/>
    </row>
    <row r="100" spans="1:14" x14ac:dyDescent="0.2">
      <c r="A100" t="s">
        <v>250</v>
      </c>
      <c r="B100" t="s">
        <v>177</v>
      </c>
      <c r="C100" s="204">
        <v>5.8900000000000001E-2</v>
      </c>
      <c r="D100" s="204">
        <v>6.3200000000000006E-2</v>
      </c>
      <c r="E100" s="204">
        <v>4.3999999999999997E-2</v>
      </c>
      <c r="F100" s="204">
        <v>3.2399999999999998E-2</v>
      </c>
      <c r="G100" s="204"/>
      <c r="H100" s="204"/>
      <c r="I100" s="204"/>
      <c r="J100" s="204"/>
      <c r="K100" s="204"/>
      <c r="L100" s="204"/>
      <c r="M100" s="204"/>
      <c r="N100" s="204"/>
    </row>
    <row r="101" spans="1:14" x14ac:dyDescent="0.2">
      <c r="A101" t="s">
        <v>251</v>
      </c>
      <c r="B101" t="s">
        <v>178</v>
      </c>
      <c r="C101" s="204">
        <v>4.5699999999999998E-2</v>
      </c>
      <c r="D101" s="204">
        <v>5.33E-2</v>
      </c>
      <c r="E101" s="204">
        <v>3.9600000000000003E-2</v>
      </c>
      <c r="F101" s="204">
        <v>2.81E-2</v>
      </c>
      <c r="G101" s="204"/>
      <c r="H101" s="204"/>
      <c r="I101" s="204"/>
      <c r="J101" s="204"/>
      <c r="K101" s="204"/>
      <c r="L101" s="204"/>
      <c r="M101" s="204"/>
      <c r="N101" s="204"/>
    </row>
    <row r="102" spans="1:14" x14ac:dyDescent="0.2">
      <c r="A102" t="s">
        <v>126</v>
      </c>
      <c r="B102" t="s">
        <v>127</v>
      </c>
      <c r="C102" s="204">
        <v>2.87E-2</v>
      </c>
      <c r="D102" s="204">
        <v>2.8400000000000002E-2</v>
      </c>
      <c r="E102" s="204">
        <v>1.4200000000000001E-2</v>
      </c>
      <c r="F102" s="204">
        <v>1.6500000000000001E-2</v>
      </c>
      <c r="G102" s="204"/>
      <c r="H102" s="204"/>
      <c r="I102" s="204"/>
      <c r="J102" s="204"/>
      <c r="K102" s="204"/>
      <c r="L102" s="204"/>
      <c r="M102" s="204"/>
      <c r="N102" s="204"/>
    </row>
    <row r="103" spans="1:14" x14ac:dyDescent="0.2">
      <c r="A103" t="s">
        <v>128</v>
      </c>
      <c r="B103" t="s">
        <v>179</v>
      </c>
      <c r="C103" s="204">
        <v>3.8899999999999997E-2</v>
      </c>
      <c r="D103" s="204">
        <v>2.6200000000000001E-2</v>
      </c>
      <c r="E103" s="204">
        <v>2.18E-2</v>
      </c>
      <c r="F103" s="204">
        <v>2.06E-2</v>
      </c>
      <c r="G103" s="204"/>
      <c r="H103" s="204"/>
      <c r="I103" s="204"/>
      <c r="J103" s="204"/>
      <c r="K103" s="204"/>
      <c r="L103" s="204"/>
      <c r="M103" s="204"/>
      <c r="N103" s="204"/>
    </row>
    <row r="104" spans="1:14" x14ac:dyDescent="0.2">
      <c r="A104" t="s">
        <v>252</v>
      </c>
      <c r="B104" t="s">
        <v>180</v>
      </c>
      <c r="C104" s="204">
        <v>0.10879999999999999</v>
      </c>
      <c r="D104" s="204">
        <v>7.2800000000000004E-2</v>
      </c>
      <c r="E104" s="204">
        <v>6.13E-2</v>
      </c>
      <c r="F104" s="204">
        <v>5.3900000000000003E-2</v>
      </c>
      <c r="G104" s="204"/>
      <c r="H104" s="204"/>
      <c r="I104" s="204"/>
      <c r="J104" s="204"/>
      <c r="K104" s="204"/>
      <c r="L104" s="204"/>
      <c r="M104" s="204"/>
      <c r="N104" s="204"/>
    </row>
    <row r="105" spans="1:14" x14ac:dyDescent="0.2">
      <c r="A105" t="s">
        <v>253</v>
      </c>
      <c r="B105" t="s">
        <v>181</v>
      </c>
      <c r="C105" s="204">
        <v>2.35E-2</v>
      </c>
      <c r="D105" s="204">
        <v>1.6E-2</v>
      </c>
      <c r="E105" s="204">
        <v>1.37E-2</v>
      </c>
      <c r="F105" s="204">
        <v>1.1900000000000001E-2</v>
      </c>
      <c r="G105" s="204"/>
      <c r="H105" s="204"/>
      <c r="I105" s="204"/>
      <c r="J105" s="204"/>
      <c r="K105" s="204"/>
      <c r="L105" s="204"/>
      <c r="M105" s="204"/>
      <c r="N105" s="204"/>
    </row>
    <row r="106" spans="1:14" x14ac:dyDescent="0.2">
      <c r="A106" t="s">
        <v>130</v>
      </c>
      <c r="B106" t="s">
        <v>131</v>
      </c>
      <c r="C106" s="204">
        <v>2.2800000000000001E-2</v>
      </c>
      <c r="D106" s="204">
        <v>2.2700000000000001E-2</v>
      </c>
      <c r="E106" s="204">
        <v>1.14E-2</v>
      </c>
      <c r="F106" s="204">
        <v>1.38E-2</v>
      </c>
      <c r="G106" s="204"/>
      <c r="H106" s="204"/>
      <c r="I106" s="204"/>
      <c r="J106" s="204"/>
      <c r="K106" s="204"/>
      <c r="L106" s="204"/>
      <c r="M106" s="204"/>
      <c r="N106" s="204"/>
    </row>
    <row r="107" spans="1:14" x14ac:dyDescent="0.2">
      <c r="A107" t="s">
        <v>132</v>
      </c>
      <c r="B107" t="s">
        <v>182</v>
      </c>
      <c r="C107" s="204">
        <v>5.6399999999999999E-2</v>
      </c>
      <c r="D107" s="204">
        <v>5.1400000000000001E-2</v>
      </c>
      <c r="E107" s="204">
        <v>3.5000000000000003E-2</v>
      </c>
      <c r="F107" s="204">
        <v>7.1999999999999998E-3</v>
      </c>
      <c r="G107" s="204"/>
      <c r="H107" s="204"/>
      <c r="I107" s="204"/>
      <c r="J107" s="204"/>
      <c r="K107" s="204"/>
      <c r="L107" s="204"/>
      <c r="M107" s="204"/>
      <c r="N107" s="204"/>
    </row>
    <row r="108" spans="1:14" x14ac:dyDescent="0.2">
      <c r="A108" t="s">
        <v>254</v>
      </c>
      <c r="B108" t="s">
        <v>183</v>
      </c>
      <c r="C108" s="204">
        <v>0.19570000000000001</v>
      </c>
      <c r="D108" s="204">
        <v>0.17829999999999999</v>
      </c>
      <c r="E108" s="204">
        <v>0.12379999999999999</v>
      </c>
      <c r="F108" s="204">
        <v>1.7500000000000002E-2</v>
      </c>
      <c r="G108" s="204"/>
      <c r="H108" s="204"/>
      <c r="I108" s="204"/>
      <c r="J108" s="204"/>
      <c r="K108" s="204"/>
      <c r="L108" s="204"/>
      <c r="M108" s="204"/>
      <c r="N108" s="204"/>
    </row>
    <row r="109" spans="1:14" x14ac:dyDescent="0.2">
      <c r="A109" t="s">
        <v>255</v>
      </c>
      <c r="B109" t="s">
        <v>184</v>
      </c>
      <c r="C109" s="204">
        <v>4.2799999999999998E-2</v>
      </c>
      <c r="D109" s="204">
        <v>3.95E-2</v>
      </c>
      <c r="E109" s="204">
        <v>2.81E-2</v>
      </c>
      <c r="F109" s="204">
        <v>6.4000000000000003E-3</v>
      </c>
      <c r="G109" s="204"/>
      <c r="H109" s="204"/>
      <c r="I109" s="204"/>
      <c r="J109" s="204"/>
      <c r="K109" s="204"/>
      <c r="L109" s="204"/>
      <c r="M109" s="204"/>
      <c r="N109" s="204"/>
    </row>
    <row r="110" spans="1:14" x14ac:dyDescent="0.2">
      <c r="A110" t="s">
        <v>134</v>
      </c>
      <c r="B110" t="s">
        <v>135</v>
      </c>
      <c r="C110" s="204">
        <v>6.13E-2</v>
      </c>
      <c r="D110" s="204">
        <v>2.0400000000000001E-2</v>
      </c>
      <c r="E110" s="204">
        <v>8.8000000000000005E-3</v>
      </c>
      <c r="F110" s="204">
        <v>3.2000000000000002E-3</v>
      </c>
      <c r="G110" s="204"/>
      <c r="H110" s="204"/>
      <c r="I110" s="204"/>
      <c r="J110" s="204"/>
      <c r="K110" s="204"/>
      <c r="L110" s="204"/>
      <c r="M110" s="204"/>
      <c r="N110" s="204"/>
    </row>
    <row r="111" spans="1:14" x14ac:dyDescent="0.2">
      <c r="A111" t="s">
        <v>136</v>
      </c>
      <c r="B111" t="s">
        <v>137</v>
      </c>
      <c r="C111" s="204">
        <v>5.2999999999999999E-2</v>
      </c>
      <c r="D111" s="204">
        <v>4.2999999999999997E-2</v>
      </c>
      <c r="E111" s="204">
        <v>4.1700000000000001E-2</v>
      </c>
      <c r="F111" s="204">
        <v>0.02</v>
      </c>
      <c r="G111" s="204"/>
      <c r="H111" s="204"/>
      <c r="I111" s="204"/>
      <c r="J111" s="204"/>
      <c r="K111" s="204"/>
      <c r="L111" s="204"/>
      <c r="M111" s="204"/>
      <c r="N111" s="204"/>
    </row>
    <row r="112" spans="1:14" x14ac:dyDescent="0.2">
      <c r="A112" t="s">
        <v>138</v>
      </c>
      <c r="B112" t="s">
        <v>139</v>
      </c>
      <c r="C112" s="204">
        <v>4.41E-2</v>
      </c>
      <c r="D112" s="204">
        <v>0</v>
      </c>
      <c r="E112" s="204">
        <v>0</v>
      </c>
      <c r="F112" s="204">
        <v>2.0999999999999999E-3</v>
      </c>
      <c r="G112" s="204"/>
      <c r="H112" s="204"/>
      <c r="I112" s="204"/>
      <c r="J112" s="204"/>
      <c r="K112" s="204"/>
      <c r="L112" s="204"/>
      <c r="M112" s="204"/>
      <c r="N112" s="204"/>
    </row>
    <row r="113" spans="1:14" x14ac:dyDescent="0.2">
      <c r="A113" t="s">
        <v>140</v>
      </c>
      <c r="B113" t="s">
        <v>141</v>
      </c>
      <c r="C113" s="204">
        <v>3.8600000000000002E-2</v>
      </c>
      <c r="D113" s="204">
        <v>2.01E-2</v>
      </c>
      <c r="E113" s="204">
        <v>5.1999999999999998E-3</v>
      </c>
      <c r="F113" s="204">
        <v>1.6000000000000001E-3</v>
      </c>
      <c r="G113" s="204"/>
      <c r="H113" s="204"/>
      <c r="I113" s="204"/>
      <c r="J113" s="204"/>
      <c r="K113" s="204"/>
      <c r="L113" s="204"/>
      <c r="M113" s="204"/>
      <c r="N113" s="204"/>
    </row>
    <row r="114" spans="1:14" x14ac:dyDescent="0.2">
      <c r="A114" t="s">
        <v>142</v>
      </c>
      <c r="B114" t="s">
        <v>143</v>
      </c>
      <c r="C114" s="204">
        <v>1.2500000000000001E-2</v>
      </c>
      <c r="D114" s="204">
        <v>1.89E-2</v>
      </c>
      <c r="E114" s="204">
        <v>8.3000000000000001E-3</v>
      </c>
      <c r="F114" s="204">
        <v>4.1999999999999997E-3</v>
      </c>
      <c r="G114" s="204"/>
      <c r="H114" s="204"/>
      <c r="I114" s="204"/>
      <c r="J114" s="204"/>
      <c r="K114" s="204"/>
      <c r="L114" s="204"/>
      <c r="M114" s="204"/>
      <c r="N114" s="204"/>
    </row>
    <row r="115" spans="1:14" x14ac:dyDescent="0.2">
      <c r="A115" t="s">
        <v>144</v>
      </c>
      <c r="B115" t="s">
        <v>145</v>
      </c>
      <c r="C115" s="204">
        <v>1.2500000000000001E-2</v>
      </c>
      <c r="D115" s="204">
        <v>1.89E-2</v>
      </c>
      <c r="E115" s="204">
        <v>8.3000000000000001E-3</v>
      </c>
      <c r="F115" s="204">
        <v>4.1999999999999997E-3</v>
      </c>
      <c r="G115" s="204"/>
      <c r="H115" s="204"/>
      <c r="I115" s="204"/>
      <c r="J115" s="204"/>
      <c r="K115" s="204"/>
      <c r="L115" s="204"/>
      <c r="M115" s="204"/>
      <c r="N115" s="204"/>
    </row>
    <row r="116" spans="1:14" x14ac:dyDescent="0.2">
      <c r="A116" t="s">
        <v>146</v>
      </c>
      <c r="B116" t="s">
        <v>147</v>
      </c>
      <c r="C116" s="204">
        <v>1.2500000000000001E-2</v>
      </c>
      <c r="D116" s="204">
        <v>1.89E-2</v>
      </c>
      <c r="E116" s="204">
        <v>8.3000000000000001E-3</v>
      </c>
      <c r="F116" s="204">
        <v>4.1999999999999997E-3</v>
      </c>
      <c r="G116" s="204"/>
      <c r="H116" s="204"/>
      <c r="I116" s="204"/>
      <c r="J116" s="204"/>
      <c r="K116" s="204"/>
      <c r="L116" s="204"/>
      <c r="M116" s="204"/>
      <c r="N116" s="204"/>
    </row>
    <row r="117" spans="1:14" x14ac:dyDescent="0.2">
      <c r="A117" t="s">
        <v>148</v>
      </c>
      <c r="B117" t="s">
        <v>149</v>
      </c>
      <c r="C117" s="204">
        <v>1.2500000000000001E-2</v>
      </c>
      <c r="D117" s="204">
        <v>1.89E-2</v>
      </c>
      <c r="E117" s="204">
        <v>8.3000000000000001E-3</v>
      </c>
      <c r="F117" s="204">
        <v>4.1999999999999997E-3</v>
      </c>
      <c r="G117" s="204"/>
      <c r="H117" s="204"/>
      <c r="I117" s="204"/>
      <c r="J117" s="204"/>
      <c r="K117" s="204"/>
      <c r="L117" s="204"/>
      <c r="M117" s="204"/>
      <c r="N117" s="204"/>
    </row>
    <row r="118" spans="1:14" x14ac:dyDescent="0.2">
      <c r="A118" t="s">
        <v>150</v>
      </c>
      <c r="B118" t="s">
        <v>151</v>
      </c>
      <c r="C118" s="204">
        <v>1.2500000000000001E-2</v>
      </c>
      <c r="D118" s="204">
        <v>1.89E-2</v>
      </c>
      <c r="E118" s="204">
        <v>8.3000000000000001E-3</v>
      </c>
      <c r="F118" s="204">
        <v>4.1999999999999997E-3</v>
      </c>
      <c r="G118" s="204"/>
      <c r="H118" s="204"/>
      <c r="I118" s="204"/>
      <c r="J118" s="204"/>
      <c r="K118" s="204"/>
      <c r="L118" s="204"/>
      <c r="M118" s="204"/>
      <c r="N118" s="204"/>
    </row>
    <row r="119" spans="1:14" x14ac:dyDescent="0.2">
      <c r="A119" t="s">
        <v>152</v>
      </c>
      <c r="B119" t="s">
        <v>153</v>
      </c>
      <c r="C119" s="204">
        <v>1.2500000000000001E-2</v>
      </c>
      <c r="D119" s="204">
        <v>1.89E-2</v>
      </c>
      <c r="E119" s="204">
        <v>8.3000000000000001E-3</v>
      </c>
      <c r="F119" s="204">
        <v>4.1999999999999997E-3</v>
      </c>
      <c r="G119" s="204"/>
      <c r="H119" s="204"/>
      <c r="I119" s="204"/>
      <c r="J119" s="204"/>
      <c r="K119" s="204"/>
      <c r="L119" s="204"/>
      <c r="M119" s="204"/>
      <c r="N119" s="204"/>
    </row>
    <row r="120" spans="1:14" x14ac:dyDescent="0.2">
      <c r="A120" t="s">
        <v>154</v>
      </c>
      <c r="B120" t="s">
        <v>155</v>
      </c>
      <c r="C120" s="204">
        <v>1.2500000000000001E-2</v>
      </c>
      <c r="D120" s="204">
        <v>4.6199999999999998E-2</v>
      </c>
      <c r="E120" s="204">
        <v>3.8399999999999997E-2</v>
      </c>
      <c r="F120" s="204">
        <v>1.9199999999999998E-2</v>
      </c>
      <c r="G120" s="204"/>
      <c r="H120" s="204"/>
      <c r="I120" s="204"/>
      <c r="J120" s="204"/>
      <c r="K120" s="204"/>
      <c r="L120" s="204"/>
      <c r="M120" s="204"/>
      <c r="N120" s="204"/>
    </row>
    <row r="121" spans="1:14" x14ac:dyDescent="0.2">
      <c r="A121" t="s">
        <v>156</v>
      </c>
      <c r="B121" t="s">
        <v>157</v>
      </c>
      <c r="C121" s="204">
        <v>6.7999999999999996E-3</v>
      </c>
      <c r="D121" s="204">
        <v>8.0999999999999996E-3</v>
      </c>
      <c r="E121" s="204">
        <v>6.0000000000000001E-3</v>
      </c>
      <c r="F121" s="204">
        <v>3.0999999999999999E-3</v>
      </c>
      <c r="G121" s="204"/>
      <c r="H121" s="204"/>
      <c r="I121" s="204"/>
      <c r="J121" s="204"/>
      <c r="K121" s="204"/>
      <c r="L121" s="204"/>
      <c r="M121" s="204"/>
      <c r="N121" s="204"/>
    </row>
    <row r="122" spans="1:14" x14ac:dyDescent="0.2">
      <c r="A122" t="s">
        <v>158</v>
      </c>
      <c r="B122" t="s">
        <v>159</v>
      </c>
      <c r="C122" s="204">
        <v>1.8800000000000001E-2</v>
      </c>
      <c r="D122" s="204">
        <v>1.4500000000000001E-2</v>
      </c>
      <c r="E122" s="204">
        <v>2.1999999999999999E-2</v>
      </c>
      <c r="F122" s="204">
        <v>1.83E-2</v>
      </c>
      <c r="G122" s="204"/>
      <c r="H122" s="204"/>
      <c r="I122" s="204"/>
      <c r="J122" s="204"/>
      <c r="K122" s="204"/>
      <c r="L122" s="204"/>
      <c r="M122" s="204"/>
      <c r="N122" s="204"/>
    </row>
    <row r="124" spans="1:14" x14ac:dyDescent="0.2">
      <c r="A124" t="s">
        <v>276</v>
      </c>
    </row>
    <row r="125" spans="1:14" x14ac:dyDescent="0.2">
      <c r="A125" t="s">
        <v>257</v>
      </c>
      <c r="B125" t="s">
        <v>258</v>
      </c>
      <c r="C125" t="s">
        <v>236</v>
      </c>
      <c r="D125" t="s">
        <v>15</v>
      </c>
      <c r="E125" t="s">
        <v>234</v>
      </c>
      <c r="F125" t="s">
        <v>259</v>
      </c>
      <c r="G125" t="s">
        <v>260</v>
      </c>
      <c r="H125" t="s">
        <v>261</v>
      </c>
      <c r="I125" t="s">
        <v>262</v>
      </c>
      <c r="J125" t="s">
        <v>263</v>
      </c>
      <c r="K125" t="s">
        <v>264</v>
      </c>
      <c r="L125" t="s">
        <v>265</v>
      </c>
      <c r="M125" t="s">
        <v>266</v>
      </c>
      <c r="N125" t="s">
        <v>267</v>
      </c>
    </row>
    <row r="126" spans="1:14" x14ac:dyDescent="0.2">
      <c r="A126" t="s">
        <v>26</v>
      </c>
      <c r="B126" t="s">
        <v>27</v>
      </c>
      <c r="C126" s="204"/>
      <c r="D126" s="204"/>
      <c r="E126" s="204">
        <v>7.0000000000000001E-3</v>
      </c>
      <c r="F126" s="204">
        <v>6.7000000000000002E-3</v>
      </c>
      <c r="G126" s="204"/>
      <c r="H126" s="204"/>
      <c r="I126" s="204"/>
      <c r="J126" s="204"/>
      <c r="K126" s="204"/>
      <c r="L126" s="204"/>
      <c r="M126" s="204"/>
      <c r="N126" s="204"/>
    </row>
    <row r="127" spans="1:14" x14ac:dyDescent="0.2">
      <c r="A127" t="s">
        <v>28</v>
      </c>
      <c r="B127" t="s">
        <v>29</v>
      </c>
      <c r="C127" s="204"/>
      <c r="D127" s="204"/>
      <c r="E127" s="204">
        <v>6.0000000000000001E-3</v>
      </c>
      <c r="F127" s="204">
        <v>9.1000000000000004E-3</v>
      </c>
      <c r="G127" s="204"/>
      <c r="H127" s="204"/>
      <c r="I127" s="204"/>
      <c r="J127" s="204"/>
      <c r="K127" s="204"/>
      <c r="L127" s="204"/>
      <c r="M127" s="204"/>
      <c r="N127" s="204"/>
    </row>
    <row r="128" spans="1:14" x14ac:dyDescent="0.2">
      <c r="A128" t="s">
        <v>30</v>
      </c>
      <c r="B128" t="s">
        <v>31</v>
      </c>
      <c r="C128" s="204"/>
      <c r="D128" s="204"/>
      <c r="E128" s="204">
        <v>1.11E-2</v>
      </c>
      <c r="F128" s="204">
        <v>9.9000000000000008E-3</v>
      </c>
      <c r="G128" s="204"/>
      <c r="H128" s="204"/>
      <c r="I128" s="204"/>
      <c r="J128" s="204"/>
      <c r="K128" s="204"/>
      <c r="L128" s="204"/>
      <c r="M128" s="204"/>
      <c r="N128" s="204"/>
    </row>
    <row r="129" spans="1:14" x14ac:dyDescent="0.2">
      <c r="A129" t="s">
        <v>32</v>
      </c>
      <c r="B129" t="s">
        <v>33</v>
      </c>
      <c r="C129" s="204"/>
      <c r="D129" s="204"/>
      <c r="E129" s="204">
        <v>4.7999999999999996E-3</v>
      </c>
      <c r="F129" s="204">
        <v>3.7000000000000002E-3</v>
      </c>
      <c r="G129" s="204"/>
      <c r="H129" s="204"/>
      <c r="I129" s="204"/>
      <c r="J129" s="204"/>
      <c r="K129" s="204"/>
      <c r="L129" s="204"/>
      <c r="M129" s="204"/>
      <c r="N129" s="204"/>
    </row>
    <row r="130" spans="1:14" x14ac:dyDescent="0.2">
      <c r="A130" t="s">
        <v>34</v>
      </c>
      <c r="B130" t="s">
        <v>35</v>
      </c>
      <c r="C130" s="204"/>
      <c r="D130" s="204"/>
      <c r="E130" s="204">
        <v>1.35E-2</v>
      </c>
      <c r="F130" s="204">
        <v>8.6999999999999994E-3</v>
      </c>
      <c r="G130" s="204"/>
      <c r="H130" s="204"/>
      <c r="I130" s="204"/>
      <c r="J130" s="204"/>
      <c r="K130" s="204"/>
      <c r="L130" s="204"/>
      <c r="M130" s="204"/>
      <c r="N130" s="204"/>
    </row>
    <row r="131" spans="1:14" x14ac:dyDescent="0.2">
      <c r="A131" t="s">
        <v>36</v>
      </c>
      <c r="B131" t="s">
        <v>37</v>
      </c>
      <c r="C131" s="204"/>
      <c r="D131" s="204"/>
      <c r="E131" s="204">
        <v>1.12E-2</v>
      </c>
      <c r="F131" s="204">
        <v>8.0999999999999996E-3</v>
      </c>
      <c r="G131" s="204"/>
      <c r="H131" s="204"/>
      <c r="I131" s="204"/>
      <c r="J131" s="204"/>
      <c r="K131" s="204"/>
      <c r="L131" s="204"/>
      <c r="M131" s="204"/>
      <c r="N131" s="204"/>
    </row>
    <row r="132" spans="1:14" x14ac:dyDescent="0.2">
      <c r="A132" t="s">
        <v>38</v>
      </c>
      <c r="B132" t="s">
        <v>39</v>
      </c>
      <c r="C132" s="204"/>
      <c r="D132" s="204"/>
      <c r="E132" s="204">
        <v>8.6999999999999994E-3</v>
      </c>
      <c r="F132" s="204">
        <v>8.8000000000000005E-3</v>
      </c>
      <c r="G132" s="204"/>
      <c r="H132" s="204"/>
      <c r="I132" s="204"/>
      <c r="J132" s="204"/>
      <c r="K132" s="204"/>
      <c r="L132" s="204"/>
      <c r="M132" s="204"/>
      <c r="N132" s="204"/>
    </row>
    <row r="133" spans="1:14" x14ac:dyDescent="0.2">
      <c r="A133" t="s">
        <v>40</v>
      </c>
      <c r="B133" t="s">
        <v>41</v>
      </c>
      <c r="C133" s="204"/>
      <c r="D133" s="204"/>
      <c r="E133" s="204">
        <v>1.14E-2</v>
      </c>
      <c r="F133" s="204">
        <v>1.1299999999999999E-2</v>
      </c>
      <c r="G133" s="204"/>
      <c r="H133" s="204"/>
      <c r="I133" s="204"/>
      <c r="J133" s="204"/>
      <c r="K133" s="204"/>
      <c r="L133" s="204"/>
      <c r="M133" s="204"/>
      <c r="N133" s="204"/>
    </row>
    <row r="134" spans="1:14" x14ac:dyDescent="0.2">
      <c r="A134" t="s">
        <v>42</v>
      </c>
      <c r="B134" t="s">
        <v>43</v>
      </c>
      <c r="C134" s="204"/>
      <c r="D134" s="204"/>
      <c r="E134" s="204">
        <v>7.4000000000000003E-3</v>
      </c>
      <c r="F134" s="204">
        <v>7.1000000000000004E-3</v>
      </c>
      <c r="G134" s="204"/>
      <c r="H134" s="204"/>
      <c r="I134" s="204"/>
      <c r="J134" s="204"/>
      <c r="K134" s="204"/>
      <c r="L134" s="204"/>
      <c r="M134" s="204"/>
      <c r="N134" s="204"/>
    </row>
    <row r="135" spans="1:14" x14ac:dyDescent="0.2">
      <c r="A135" t="s">
        <v>44</v>
      </c>
      <c r="B135" t="s">
        <v>45</v>
      </c>
      <c r="C135" s="204"/>
      <c r="D135" s="204"/>
      <c r="E135" s="204">
        <v>4.7000000000000002E-3</v>
      </c>
      <c r="F135" s="204">
        <v>4.8999999999999998E-3</v>
      </c>
      <c r="G135" s="204"/>
      <c r="H135" s="204"/>
      <c r="I135" s="204"/>
      <c r="J135" s="204"/>
      <c r="K135" s="204"/>
      <c r="L135" s="204"/>
      <c r="M135" s="204"/>
      <c r="N135" s="204"/>
    </row>
    <row r="136" spans="1:14" x14ac:dyDescent="0.2">
      <c r="A136" t="s">
        <v>46</v>
      </c>
      <c r="B136" t="s">
        <v>47</v>
      </c>
      <c r="C136" s="204"/>
      <c r="D136" s="204"/>
      <c r="E136" s="204">
        <v>4.1000000000000003E-3</v>
      </c>
      <c r="F136" s="204">
        <v>2.7000000000000001E-3</v>
      </c>
      <c r="G136" s="204"/>
      <c r="H136" s="204"/>
      <c r="I136" s="204"/>
      <c r="J136" s="204"/>
      <c r="K136" s="204"/>
      <c r="L136" s="204"/>
      <c r="M136" s="204"/>
      <c r="N136" s="204"/>
    </row>
    <row r="137" spans="1:14" x14ac:dyDescent="0.2">
      <c r="A137" t="s">
        <v>48</v>
      </c>
      <c r="B137" t="s">
        <v>49</v>
      </c>
      <c r="C137" s="204"/>
      <c r="D137" s="204"/>
      <c r="E137" s="204">
        <v>8.2000000000000007E-3</v>
      </c>
      <c r="F137" s="204">
        <v>7.7999999999999996E-3</v>
      </c>
      <c r="G137" s="204"/>
      <c r="H137" s="204"/>
      <c r="I137" s="204"/>
      <c r="J137" s="204"/>
      <c r="K137" s="204"/>
      <c r="L137" s="204"/>
      <c r="M137" s="204"/>
      <c r="N137" s="204"/>
    </row>
    <row r="138" spans="1:14" x14ac:dyDescent="0.2">
      <c r="A138" t="s">
        <v>50</v>
      </c>
      <c r="B138" t="s">
        <v>51</v>
      </c>
      <c r="C138" s="204"/>
      <c r="D138" s="204"/>
      <c r="E138" s="204">
        <v>1.32E-2</v>
      </c>
      <c r="F138" s="204">
        <v>1.3100000000000001E-2</v>
      </c>
      <c r="G138" s="204"/>
      <c r="H138" s="204"/>
      <c r="I138" s="204"/>
      <c r="J138" s="204"/>
      <c r="K138" s="204"/>
      <c r="L138" s="204"/>
      <c r="M138" s="204"/>
      <c r="N138" s="204"/>
    </row>
    <row r="139" spans="1:14" x14ac:dyDescent="0.2">
      <c r="A139" t="s">
        <v>52</v>
      </c>
      <c r="B139" t="s">
        <v>53</v>
      </c>
      <c r="C139" s="204"/>
      <c r="D139" s="204"/>
      <c r="E139" s="204">
        <v>1.1900000000000001E-2</v>
      </c>
      <c r="F139" s="204">
        <v>1.26E-2</v>
      </c>
      <c r="G139" s="204"/>
      <c r="H139" s="204"/>
      <c r="I139" s="204"/>
      <c r="J139" s="204"/>
      <c r="K139" s="204"/>
      <c r="L139" s="204"/>
      <c r="M139" s="204"/>
      <c r="N139" s="204"/>
    </row>
    <row r="140" spans="1:14" x14ac:dyDescent="0.2">
      <c r="A140" t="s">
        <v>54</v>
      </c>
      <c r="B140" t="s">
        <v>55</v>
      </c>
      <c r="C140" s="204"/>
      <c r="D140" s="204"/>
      <c r="E140" s="204">
        <v>1.47E-2</v>
      </c>
      <c r="F140" s="204">
        <v>1.5100000000000001E-2</v>
      </c>
      <c r="G140" s="204"/>
      <c r="H140" s="204"/>
      <c r="I140" s="204"/>
      <c r="J140" s="204"/>
      <c r="K140" s="204"/>
      <c r="L140" s="204"/>
      <c r="M140" s="204"/>
      <c r="N140" s="204"/>
    </row>
    <row r="141" spans="1:14" x14ac:dyDescent="0.2">
      <c r="A141" t="s">
        <v>56</v>
      </c>
      <c r="B141" t="s">
        <v>57</v>
      </c>
      <c r="C141" s="204"/>
      <c r="D141" s="204"/>
      <c r="E141" s="204">
        <v>9.4999999999999998E-3</v>
      </c>
      <c r="F141" s="204">
        <v>9.2999999999999992E-3</v>
      </c>
      <c r="G141" s="204"/>
      <c r="H141" s="204"/>
      <c r="I141" s="204"/>
      <c r="J141" s="204"/>
      <c r="K141" s="204"/>
      <c r="L141" s="204"/>
      <c r="M141" s="204"/>
      <c r="N141" s="204"/>
    </row>
    <row r="142" spans="1:14" x14ac:dyDescent="0.2">
      <c r="A142" t="s">
        <v>58</v>
      </c>
      <c r="B142" t="s">
        <v>59</v>
      </c>
      <c r="C142" s="204"/>
      <c r="D142" s="204"/>
      <c r="E142" s="204">
        <v>8.6999999999999994E-3</v>
      </c>
      <c r="F142" s="204">
        <v>8.6E-3</v>
      </c>
      <c r="G142" s="204"/>
      <c r="H142" s="204"/>
      <c r="I142" s="204"/>
      <c r="J142" s="204"/>
      <c r="K142" s="204"/>
      <c r="L142" s="204"/>
      <c r="M142" s="204"/>
      <c r="N142" s="204"/>
    </row>
    <row r="143" spans="1:14" x14ac:dyDescent="0.2">
      <c r="A143" t="s">
        <v>60</v>
      </c>
      <c r="B143" t="s">
        <v>61</v>
      </c>
      <c r="C143" s="204"/>
      <c r="D143" s="204"/>
      <c r="E143" s="204">
        <v>2.2700000000000001E-2</v>
      </c>
      <c r="F143" s="204">
        <v>2.0500000000000001E-2</v>
      </c>
      <c r="G143" s="204"/>
      <c r="H143" s="204"/>
      <c r="I143" s="204"/>
      <c r="J143" s="204"/>
      <c r="K143" s="204"/>
      <c r="L143" s="204"/>
      <c r="M143" s="204"/>
      <c r="N143" s="204"/>
    </row>
    <row r="144" spans="1:14" x14ac:dyDescent="0.2">
      <c r="A144" t="s">
        <v>62</v>
      </c>
      <c r="B144" t="s">
        <v>63</v>
      </c>
      <c r="C144" s="204"/>
      <c r="D144" s="204"/>
      <c r="E144" s="204">
        <v>8.6E-3</v>
      </c>
      <c r="F144" s="204">
        <v>9.9000000000000008E-3</v>
      </c>
      <c r="G144" s="204"/>
      <c r="H144" s="204"/>
      <c r="I144" s="204"/>
      <c r="J144" s="204"/>
      <c r="K144" s="204"/>
      <c r="L144" s="204"/>
      <c r="M144" s="204"/>
      <c r="N144" s="204"/>
    </row>
    <row r="145" spans="1:14" x14ac:dyDescent="0.2">
      <c r="A145" t="s">
        <v>64</v>
      </c>
      <c r="B145" t="s">
        <v>65</v>
      </c>
      <c r="C145" s="204"/>
      <c r="D145" s="204"/>
      <c r="E145" s="204">
        <v>6.6E-3</v>
      </c>
      <c r="F145" s="204">
        <v>6.0000000000000001E-3</v>
      </c>
      <c r="G145" s="204"/>
      <c r="H145" s="204"/>
      <c r="I145" s="204"/>
      <c r="J145" s="204"/>
      <c r="K145" s="204"/>
      <c r="L145" s="204"/>
      <c r="M145" s="204"/>
      <c r="N145" s="204"/>
    </row>
    <row r="146" spans="1:14" x14ac:dyDescent="0.2">
      <c r="A146" t="s">
        <v>66</v>
      </c>
      <c r="B146" t="s">
        <v>67</v>
      </c>
      <c r="C146" s="204"/>
      <c r="D146" s="204"/>
      <c r="E146" s="204">
        <v>7.1999999999999998E-3</v>
      </c>
      <c r="F146" s="204">
        <v>8.3999999999999995E-3</v>
      </c>
      <c r="G146" s="204"/>
      <c r="H146" s="204"/>
      <c r="I146" s="204"/>
      <c r="J146" s="204"/>
      <c r="K146" s="204"/>
      <c r="L146" s="204"/>
      <c r="M146" s="204"/>
      <c r="N146" s="204"/>
    </row>
    <row r="147" spans="1:14" x14ac:dyDescent="0.2">
      <c r="A147" t="s">
        <v>68</v>
      </c>
      <c r="B147" t="s">
        <v>69</v>
      </c>
      <c r="C147" s="204"/>
      <c r="D147" s="204"/>
      <c r="E147" s="204">
        <v>5.4999999999999997E-3</v>
      </c>
      <c r="F147" s="204">
        <v>6.8999999999999999E-3</v>
      </c>
      <c r="G147" s="204"/>
      <c r="H147" s="204"/>
      <c r="I147" s="204"/>
      <c r="J147" s="204"/>
      <c r="K147" s="204"/>
      <c r="L147" s="204"/>
      <c r="M147" s="204"/>
      <c r="N147" s="204"/>
    </row>
    <row r="148" spans="1:14" x14ac:dyDescent="0.2">
      <c r="A148" t="s">
        <v>70</v>
      </c>
      <c r="B148" t="s">
        <v>71</v>
      </c>
      <c r="C148" s="204"/>
      <c r="D148" s="204"/>
      <c r="E148" s="204">
        <v>5.8999999999999999E-3</v>
      </c>
      <c r="F148" s="204">
        <v>6.4999999999999997E-3</v>
      </c>
      <c r="G148" s="204"/>
      <c r="H148" s="204"/>
      <c r="I148" s="204"/>
      <c r="J148" s="204"/>
      <c r="K148" s="204"/>
      <c r="L148" s="204"/>
      <c r="M148" s="204"/>
      <c r="N148" s="204"/>
    </row>
    <row r="149" spans="1:14" x14ac:dyDescent="0.2">
      <c r="A149" t="s">
        <v>72</v>
      </c>
      <c r="B149" t="s">
        <v>73</v>
      </c>
      <c r="C149" s="204"/>
      <c r="D149" s="204"/>
      <c r="E149" s="204">
        <v>4.5999999999999999E-3</v>
      </c>
      <c r="F149" s="204">
        <v>3.3999999999999998E-3</v>
      </c>
      <c r="G149" s="204"/>
      <c r="H149" s="204"/>
      <c r="I149" s="204"/>
      <c r="J149" s="204"/>
      <c r="K149" s="204"/>
      <c r="L149" s="204"/>
      <c r="M149" s="204"/>
      <c r="N149" s="204"/>
    </row>
    <row r="150" spans="1:14" x14ac:dyDescent="0.2">
      <c r="A150" t="s">
        <v>74</v>
      </c>
      <c r="B150" t="s">
        <v>75</v>
      </c>
      <c r="C150" s="204"/>
      <c r="D150" s="204"/>
      <c r="E150" s="204">
        <v>1.6400000000000001E-2</v>
      </c>
      <c r="F150" s="204">
        <v>1.55E-2</v>
      </c>
      <c r="G150" s="204"/>
      <c r="H150" s="204"/>
      <c r="I150" s="204"/>
      <c r="J150" s="204"/>
      <c r="K150" s="204"/>
      <c r="L150" s="204"/>
      <c r="M150" s="204"/>
      <c r="N150" s="204"/>
    </row>
    <row r="151" spans="1:14" x14ac:dyDescent="0.2">
      <c r="A151" t="s">
        <v>76</v>
      </c>
      <c r="B151" t="s">
        <v>77</v>
      </c>
      <c r="C151" s="204"/>
      <c r="D151" s="204"/>
      <c r="E151" s="204">
        <v>8.5000000000000006E-3</v>
      </c>
      <c r="F151" s="204">
        <v>8.6999999999999994E-3</v>
      </c>
      <c r="G151" s="204"/>
      <c r="H151" s="204"/>
      <c r="I151" s="204"/>
      <c r="J151" s="204"/>
      <c r="K151" s="204"/>
      <c r="L151" s="204"/>
      <c r="M151" s="204"/>
      <c r="N151" s="204"/>
    </row>
    <row r="152" spans="1:14" x14ac:dyDescent="0.2">
      <c r="A152" t="s">
        <v>78</v>
      </c>
      <c r="B152" t="s">
        <v>79</v>
      </c>
      <c r="C152" s="204"/>
      <c r="D152" s="204"/>
      <c r="E152" s="204">
        <v>3.7000000000000002E-3</v>
      </c>
      <c r="F152" s="204">
        <v>6.1000000000000004E-3</v>
      </c>
      <c r="G152" s="204"/>
      <c r="H152" s="204"/>
      <c r="I152" s="204"/>
      <c r="J152" s="204"/>
      <c r="K152" s="204"/>
      <c r="L152" s="204"/>
      <c r="M152" s="204"/>
      <c r="N152" s="204"/>
    </row>
    <row r="153" spans="1:14" x14ac:dyDescent="0.2">
      <c r="A153" t="s">
        <v>80</v>
      </c>
      <c r="B153" t="s">
        <v>81</v>
      </c>
      <c r="C153" s="204"/>
      <c r="D153" s="204"/>
      <c r="E153" s="204">
        <v>1.78E-2</v>
      </c>
      <c r="F153" s="204">
        <v>2.35E-2</v>
      </c>
      <c r="G153" s="204"/>
      <c r="H153" s="204"/>
      <c r="I153" s="204"/>
      <c r="J153" s="204"/>
      <c r="K153" s="204"/>
      <c r="L153" s="204"/>
      <c r="M153" s="204"/>
      <c r="N153" s="204"/>
    </row>
    <row r="154" spans="1:14" x14ac:dyDescent="0.2">
      <c r="A154" t="s">
        <v>82</v>
      </c>
      <c r="B154" t="s">
        <v>83</v>
      </c>
      <c r="C154" s="204"/>
      <c r="D154" s="204"/>
      <c r="E154" s="204">
        <v>4.4999999999999997E-3</v>
      </c>
      <c r="F154" s="204">
        <v>7.3000000000000001E-3</v>
      </c>
      <c r="G154" s="204"/>
      <c r="H154" s="204"/>
      <c r="I154" s="204"/>
      <c r="J154" s="204"/>
      <c r="K154" s="204"/>
      <c r="L154" s="204"/>
      <c r="M154" s="204"/>
      <c r="N154" s="204"/>
    </row>
    <row r="155" spans="1:14" x14ac:dyDescent="0.2">
      <c r="A155" t="s">
        <v>84</v>
      </c>
      <c r="B155" t="s">
        <v>85</v>
      </c>
      <c r="C155" s="204"/>
      <c r="D155" s="204"/>
      <c r="E155" s="204">
        <v>1.2500000000000001E-2</v>
      </c>
      <c r="F155" s="204">
        <v>1.1900000000000001E-2</v>
      </c>
      <c r="G155" s="204"/>
      <c r="H155" s="204"/>
      <c r="I155" s="204"/>
      <c r="J155" s="204"/>
      <c r="K155" s="204"/>
      <c r="L155" s="204"/>
      <c r="M155" s="204"/>
      <c r="N155" s="204"/>
    </row>
    <row r="156" spans="1:14" x14ac:dyDescent="0.2">
      <c r="A156" t="s">
        <v>86</v>
      </c>
      <c r="B156" t="s">
        <v>87</v>
      </c>
      <c r="C156" s="204"/>
      <c r="D156" s="204"/>
      <c r="E156" s="204">
        <v>4.0000000000000001E-3</v>
      </c>
      <c r="F156" s="204">
        <v>4.7000000000000002E-3</v>
      </c>
      <c r="G156" s="204"/>
      <c r="H156" s="204"/>
      <c r="I156" s="204"/>
      <c r="J156" s="204"/>
      <c r="K156" s="204"/>
      <c r="L156" s="204"/>
      <c r="M156" s="204"/>
      <c r="N156" s="204"/>
    </row>
    <row r="157" spans="1:14" x14ac:dyDescent="0.2">
      <c r="A157" t="s">
        <v>88</v>
      </c>
      <c r="B157" t="s">
        <v>89</v>
      </c>
      <c r="C157" s="204"/>
      <c r="D157" s="204"/>
      <c r="E157" s="204">
        <v>8.8999999999999999E-3</v>
      </c>
      <c r="F157" s="204">
        <v>8.2000000000000007E-3</v>
      </c>
      <c r="G157" s="204"/>
      <c r="H157" s="204"/>
      <c r="I157" s="204"/>
      <c r="J157" s="204"/>
      <c r="K157" s="204"/>
      <c r="L157" s="204"/>
      <c r="M157" s="204"/>
      <c r="N157" s="204"/>
    </row>
    <row r="158" spans="1:14" x14ac:dyDescent="0.2">
      <c r="A158" t="s">
        <v>90</v>
      </c>
      <c r="B158" t="s">
        <v>91</v>
      </c>
      <c r="C158" s="204"/>
      <c r="D158" s="204"/>
      <c r="E158" s="204">
        <v>7.3000000000000001E-3</v>
      </c>
      <c r="F158" s="204">
        <v>7.3000000000000001E-3</v>
      </c>
      <c r="G158" s="204"/>
      <c r="H158" s="204"/>
      <c r="I158" s="204"/>
      <c r="J158" s="204"/>
      <c r="K158" s="204"/>
      <c r="L158" s="204"/>
      <c r="M158" s="204"/>
      <c r="N158" s="204"/>
    </row>
    <row r="159" spans="1:14" x14ac:dyDescent="0.2">
      <c r="A159" t="s">
        <v>92</v>
      </c>
      <c r="B159" t="s">
        <v>93</v>
      </c>
      <c r="C159" s="204"/>
      <c r="D159" s="204"/>
      <c r="E159" s="204">
        <v>9.2999999999999992E-3</v>
      </c>
      <c r="F159" s="204">
        <v>9.7999999999999997E-3</v>
      </c>
      <c r="G159" s="204"/>
      <c r="H159" s="204"/>
      <c r="I159" s="204"/>
      <c r="J159" s="204"/>
      <c r="K159" s="204"/>
      <c r="L159" s="204"/>
      <c r="M159" s="204"/>
      <c r="N159" s="204"/>
    </row>
    <row r="160" spans="1:14" x14ac:dyDescent="0.2">
      <c r="A160" t="s">
        <v>94</v>
      </c>
      <c r="B160" t="s">
        <v>95</v>
      </c>
      <c r="C160" s="204"/>
      <c r="D160" s="204"/>
      <c r="E160" s="204">
        <v>7.1999999999999998E-3</v>
      </c>
      <c r="F160" s="204">
        <v>7.7000000000000002E-3</v>
      </c>
      <c r="G160" s="204"/>
      <c r="H160" s="204"/>
      <c r="I160" s="204"/>
      <c r="J160" s="204"/>
      <c r="K160" s="204"/>
      <c r="L160" s="204"/>
      <c r="M160" s="204"/>
      <c r="N160" s="204"/>
    </row>
    <row r="161" spans="1:14" x14ac:dyDescent="0.2">
      <c r="A161" t="s">
        <v>96</v>
      </c>
      <c r="B161" t="s">
        <v>97</v>
      </c>
      <c r="C161" s="204"/>
      <c r="D161" s="204"/>
      <c r="E161" s="204">
        <v>3.0999999999999999E-3</v>
      </c>
      <c r="F161" s="204">
        <v>3.3999999999999998E-3</v>
      </c>
      <c r="G161" s="204"/>
      <c r="H161" s="204"/>
      <c r="I161" s="204"/>
      <c r="J161" s="204"/>
      <c r="K161" s="204"/>
      <c r="L161" s="204"/>
      <c r="M161" s="204"/>
      <c r="N161" s="204"/>
    </row>
    <row r="162" spans="1:14" x14ac:dyDescent="0.2">
      <c r="A162" t="s">
        <v>98</v>
      </c>
      <c r="B162" t="s">
        <v>99</v>
      </c>
      <c r="C162" s="204"/>
      <c r="D162" s="204"/>
      <c r="E162" s="204">
        <v>5.0000000000000001E-3</v>
      </c>
      <c r="F162" s="204">
        <v>5.0000000000000001E-3</v>
      </c>
      <c r="G162" s="204"/>
      <c r="H162" s="204"/>
      <c r="I162" s="204"/>
      <c r="J162" s="204"/>
      <c r="K162" s="204"/>
      <c r="L162" s="204"/>
      <c r="M162" s="204"/>
      <c r="N162" s="204"/>
    </row>
    <row r="163" spans="1:14" x14ac:dyDescent="0.2">
      <c r="A163" t="s">
        <v>100</v>
      </c>
      <c r="B163" t="s">
        <v>101</v>
      </c>
      <c r="C163" s="204"/>
      <c r="D163" s="204"/>
      <c r="E163" s="204">
        <v>8.2000000000000007E-3</v>
      </c>
      <c r="F163" s="204">
        <v>6.6E-3</v>
      </c>
      <c r="G163" s="204"/>
      <c r="H163" s="204"/>
      <c r="I163" s="204"/>
      <c r="J163" s="204"/>
      <c r="K163" s="204"/>
      <c r="L163" s="204"/>
      <c r="M163" s="204"/>
      <c r="N163" s="204"/>
    </row>
    <row r="164" spans="1:14" x14ac:dyDescent="0.2">
      <c r="A164" t="s">
        <v>102</v>
      </c>
      <c r="B164" t="s">
        <v>103</v>
      </c>
      <c r="C164" s="204"/>
      <c r="D164" s="204"/>
      <c r="E164" s="204">
        <v>5.7000000000000002E-3</v>
      </c>
      <c r="F164" s="204">
        <v>5.5999999999999999E-3</v>
      </c>
      <c r="G164" s="204"/>
      <c r="H164" s="204"/>
      <c r="I164" s="204"/>
      <c r="J164" s="204"/>
      <c r="K164" s="204"/>
      <c r="L164" s="204"/>
      <c r="M164" s="204"/>
      <c r="N164" s="204"/>
    </row>
    <row r="165" spans="1:14" x14ac:dyDescent="0.2">
      <c r="A165" t="s">
        <v>104</v>
      </c>
      <c r="B165" t="s">
        <v>105</v>
      </c>
      <c r="C165" s="204"/>
      <c r="D165" s="204"/>
      <c r="E165" s="204">
        <v>6.6E-3</v>
      </c>
      <c r="F165" s="204">
        <v>6.3E-3</v>
      </c>
      <c r="G165" s="204"/>
      <c r="H165" s="204"/>
      <c r="I165" s="204"/>
      <c r="J165" s="204"/>
      <c r="K165" s="204"/>
      <c r="L165" s="204"/>
      <c r="M165" s="204"/>
      <c r="N165" s="204"/>
    </row>
    <row r="166" spans="1:14" x14ac:dyDescent="0.2">
      <c r="A166" t="s">
        <v>106</v>
      </c>
      <c r="B166" t="s">
        <v>107</v>
      </c>
      <c r="C166" s="204"/>
      <c r="D166" s="204"/>
      <c r="E166" s="204">
        <v>4.8999999999999998E-3</v>
      </c>
      <c r="F166" s="204">
        <v>5.3E-3</v>
      </c>
      <c r="G166" s="204"/>
      <c r="H166" s="204"/>
      <c r="I166" s="204"/>
      <c r="J166" s="204"/>
      <c r="K166" s="204"/>
      <c r="L166" s="204"/>
      <c r="M166" s="204"/>
      <c r="N166" s="204"/>
    </row>
    <row r="167" spans="1:14" x14ac:dyDescent="0.2">
      <c r="A167" t="s">
        <v>108</v>
      </c>
      <c r="B167" t="s">
        <v>109</v>
      </c>
      <c r="C167" s="204"/>
      <c r="D167" s="204"/>
      <c r="E167" s="204">
        <v>3.7000000000000002E-3</v>
      </c>
      <c r="F167" s="204">
        <v>3.5999999999999999E-3</v>
      </c>
      <c r="G167" s="204"/>
      <c r="H167" s="204"/>
      <c r="I167" s="204"/>
      <c r="J167" s="204"/>
      <c r="K167" s="204"/>
      <c r="L167" s="204"/>
      <c r="M167" s="204"/>
      <c r="N167" s="204"/>
    </row>
    <row r="168" spans="1:14" x14ac:dyDescent="0.2">
      <c r="A168" t="s">
        <v>110</v>
      </c>
      <c r="B168" t="s">
        <v>111</v>
      </c>
      <c r="C168" s="204"/>
      <c r="D168" s="204"/>
      <c r="E168" s="204">
        <v>5.5999999999999999E-3</v>
      </c>
      <c r="F168" s="204">
        <v>5.5999999999999999E-3</v>
      </c>
      <c r="G168" s="204"/>
      <c r="H168" s="204"/>
      <c r="I168" s="204"/>
      <c r="J168" s="204"/>
      <c r="K168" s="204"/>
      <c r="L168" s="204"/>
      <c r="M168" s="204"/>
      <c r="N168" s="204"/>
    </row>
    <row r="169" spans="1:14" x14ac:dyDescent="0.2">
      <c r="A169" t="s">
        <v>112</v>
      </c>
      <c r="B169" t="s">
        <v>113</v>
      </c>
      <c r="C169" s="204"/>
      <c r="D169" s="204"/>
      <c r="E169" s="204">
        <v>6.7999999999999996E-3</v>
      </c>
      <c r="F169" s="204">
        <v>5.7000000000000002E-3</v>
      </c>
      <c r="G169" s="204"/>
      <c r="H169" s="204"/>
      <c r="I169" s="204"/>
      <c r="J169" s="204"/>
      <c r="K169" s="204"/>
      <c r="L169" s="204"/>
      <c r="M169" s="204"/>
      <c r="N169" s="204"/>
    </row>
    <row r="170" spans="1:14" x14ac:dyDescent="0.2">
      <c r="A170" t="s">
        <v>114</v>
      </c>
      <c r="B170" t="s">
        <v>115</v>
      </c>
      <c r="C170" s="204"/>
      <c r="D170" s="204"/>
      <c r="E170" s="204">
        <v>5.4000000000000003E-3</v>
      </c>
      <c r="F170" s="204">
        <v>5.8999999999999999E-3</v>
      </c>
      <c r="G170" s="204"/>
      <c r="H170" s="204"/>
      <c r="I170" s="204"/>
      <c r="J170" s="204"/>
      <c r="K170" s="204"/>
      <c r="L170" s="204"/>
      <c r="M170" s="204"/>
      <c r="N170" s="204"/>
    </row>
    <row r="171" spans="1:14" x14ac:dyDescent="0.2">
      <c r="A171" t="s">
        <v>116</v>
      </c>
      <c r="B171" t="s">
        <v>117</v>
      </c>
      <c r="C171" s="204"/>
      <c r="D171" s="204"/>
      <c r="E171" s="204">
        <v>1.46E-2</v>
      </c>
      <c r="F171" s="204">
        <v>1.21E-2</v>
      </c>
      <c r="G171" s="204"/>
      <c r="H171" s="204"/>
      <c r="I171" s="204"/>
      <c r="J171" s="204"/>
      <c r="K171" s="204"/>
      <c r="L171" s="204"/>
      <c r="M171" s="204"/>
      <c r="N171" s="204"/>
    </row>
    <row r="172" spans="1:14" x14ac:dyDescent="0.2">
      <c r="A172" t="s">
        <v>118</v>
      </c>
      <c r="B172" t="s">
        <v>119</v>
      </c>
      <c r="C172" s="204"/>
      <c r="D172" s="204"/>
      <c r="E172" s="204">
        <v>7.7000000000000002E-3</v>
      </c>
      <c r="F172" s="204">
        <v>8.5000000000000006E-3</v>
      </c>
      <c r="G172" s="204"/>
      <c r="H172" s="204"/>
      <c r="I172" s="204"/>
      <c r="J172" s="204"/>
      <c r="K172" s="204"/>
      <c r="L172" s="204"/>
      <c r="M172" s="204"/>
      <c r="N172" s="204"/>
    </row>
    <row r="173" spans="1:14" x14ac:dyDescent="0.2">
      <c r="A173" t="s">
        <v>120</v>
      </c>
      <c r="B173" t="s">
        <v>121</v>
      </c>
      <c r="C173" s="204"/>
      <c r="D173" s="204"/>
      <c r="E173" s="204">
        <v>6.6E-3</v>
      </c>
      <c r="F173" s="204">
        <v>7.1000000000000004E-3</v>
      </c>
      <c r="G173" s="204"/>
      <c r="H173" s="204"/>
      <c r="I173" s="204"/>
      <c r="J173" s="204"/>
      <c r="K173" s="204"/>
      <c r="L173" s="204"/>
      <c r="M173" s="204"/>
      <c r="N173" s="204"/>
    </row>
    <row r="174" spans="1:14" x14ac:dyDescent="0.2">
      <c r="A174" t="s">
        <v>122</v>
      </c>
      <c r="B174" t="s">
        <v>123</v>
      </c>
      <c r="C174" s="204"/>
      <c r="D174" s="204"/>
      <c r="E174" s="204">
        <v>6.4000000000000003E-3</v>
      </c>
      <c r="F174" s="204">
        <v>6.1999999999999998E-3</v>
      </c>
      <c r="G174" s="204"/>
      <c r="H174" s="204"/>
      <c r="I174" s="204"/>
      <c r="J174" s="204"/>
      <c r="K174" s="204"/>
      <c r="L174" s="204"/>
      <c r="M174" s="204"/>
      <c r="N174" s="204"/>
    </row>
    <row r="175" spans="1:14" x14ac:dyDescent="0.2">
      <c r="A175" t="s">
        <v>124</v>
      </c>
      <c r="B175" t="s">
        <v>125</v>
      </c>
      <c r="C175" s="204"/>
      <c r="D175" s="204"/>
      <c r="E175" s="204">
        <v>1.14E-2</v>
      </c>
      <c r="F175" s="204">
        <v>1.15E-2</v>
      </c>
      <c r="G175" s="204"/>
      <c r="H175" s="204"/>
      <c r="I175" s="204"/>
      <c r="J175" s="204"/>
      <c r="K175" s="204"/>
      <c r="L175" s="204"/>
      <c r="M175" s="204"/>
      <c r="N175" s="204"/>
    </row>
    <row r="176" spans="1:14" x14ac:dyDescent="0.2">
      <c r="A176" t="s">
        <v>126</v>
      </c>
      <c r="B176" t="s">
        <v>127</v>
      </c>
      <c r="C176" s="204"/>
      <c r="D176" s="204"/>
      <c r="E176" s="204">
        <v>1.0200000000000001E-2</v>
      </c>
      <c r="F176" s="204">
        <v>1.15E-2</v>
      </c>
      <c r="G176" s="204"/>
      <c r="H176" s="204"/>
      <c r="I176" s="204"/>
      <c r="J176" s="204"/>
      <c r="K176" s="204"/>
      <c r="L176" s="204"/>
      <c r="M176" s="204"/>
      <c r="N176" s="204"/>
    </row>
    <row r="177" spans="1:14" x14ac:dyDescent="0.2">
      <c r="A177" t="s">
        <v>128</v>
      </c>
      <c r="B177" t="s">
        <v>129</v>
      </c>
      <c r="C177" s="204"/>
      <c r="D177" s="204"/>
      <c r="E177" s="204">
        <v>5.7999999999999996E-3</v>
      </c>
      <c r="F177" s="204">
        <v>6.3E-3</v>
      </c>
      <c r="G177" s="204"/>
      <c r="H177" s="204"/>
      <c r="I177" s="204"/>
      <c r="J177" s="204"/>
      <c r="K177" s="204"/>
      <c r="L177" s="204"/>
      <c r="M177" s="204"/>
      <c r="N177" s="204"/>
    </row>
    <row r="178" spans="1:14" x14ac:dyDescent="0.2">
      <c r="A178" t="s">
        <v>130</v>
      </c>
      <c r="B178" t="s">
        <v>131</v>
      </c>
      <c r="C178" s="204"/>
      <c r="D178" s="204"/>
      <c r="E178" s="204">
        <v>1.0999999999999999E-2</v>
      </c>
      <c r="F178" s="204">
        <v>0.01</v>
      </c>
      <c r="G178" s="204"/>
      <c r="H178" s="204"/>
      <c r="I178" s="204"/>
      <c r="J178" s="204"/>
      <c r="K178" s="204"/>
      <c r="L178" s="204"/>
      <c r="M178" s="204"/>
      <c r="N178" s="204"/>
    </row>
    <row r="179" spans="1:14" x14ac:dyDescent="0.2">
      <c r="A179" t="s">
        <v>132</v>
      </c>
      <c r="B179" t="s">
        <v>133</v>
      </c>
      <c r="C179" s="204"/>
      <c r="D179" s="204"/>
      <c r="E179" s="204">
        <v>2.0400000000000001E-2</v>
      </c>
      <c r="F179" s="204">
        <v>2.0799999999999999E-2</v>
      </c>
      <c r="G179" s="204"/>
      <c r="H179" s="204"/>
      <c r="I179" s="204"/>
      <c r="J179" s="204"/>
      <c r="K179" s="204"/>
      <c r="L179" s="204"/>
      <c r="M179" s="204"/>
      <c r="N179" s="204"/>
    </row>
    <row r="180" spans="1:14" x14ac:dyDescent="0.2">
      <c r="A180" t="s">
        <v>134</v>
      </c>
      <c r="B180" t="s">
        <v>135</v>
      </c>
      <c r="C180" s="204"/>
      <c r="D180" s="204"/>
      <c r="E180" s="204">
        <v>3.0499999999999999E-2</v>
      </c>
      <c r="F180" s="204">
        <v>2.7400000000000001E-2</v>
      </c>
      <c r="G180" s="204"/>
      <c r="H180" s="204"/>
      <c r="I180" s="204"/>
      <c r="J180" s="204"/>
      <c r="K180" s="204"/>
      <c r="L180" s="204"/>
      <c r="M180" s="204"/>
      <c r="N180" s="204"/>
    </row>
    <row r="181" spans="1:14" x14ac:dyDescent="0.2">
      <c r="A181" t="s">
        <v>136</v>
      </c>
      <c r="B181" t="s">
        <v>137</v>
      </c>
      <c r="C181" s="204"/>
      <c r="D181" s="204"/>
      <c r="E181" s="204">
        <v>2.1700000000000001E-2</v>
      </c>
      <c r="F181" s="204">
        <v>1.77E-2</v>
      </c>
      <c r="G181" s="204"/>
      <c r="H181" s="204"/>
      <c r="I181" s="204"/>
      <c r="J181" s="204"/>
      <c r="K181" s="204"/>
      <c r="L181" s="204"/>
      <c r="M181" s="204"/>
      <c r="N181" s="204"/>
    </row>
    <row r="182" spans="1:14" x14ac:dyDescent="0.2">
      <c r="A182" t="s">
        <v>138</v>
      </c>
      <c r="B182" t="s">
        <v>139</v>
      </c>
      <c r="C182" s="204"/>
      <c r="D182" s="204"/>
      <c r="E182" s="204">
        <v>1.54E-2</v>
      </c>
      <c r="F182" s="204">
        <v>1.2200000000000001E-2</v>
      </c>
      <c r="G182" s="204"/>
      <c r="H182" s="204"/>
      <c r="I182" s="204"/>
      <c r="J182" s="204"/>
      <c r="K182" s="204"/>
      <c r="L182" s="204"/>
      <c r="M182" s="204"/>
      <c r="N182" s="204"/>
    </row>
    <row r="183" spans="1:14" x14ac:dyDescent="0.2">
      <c r="A183" t="s">
        <v>140</v>
      </c>
      <c r="B183" t="s">
        <v>141</v>
      </c>
      <c r="C183" s="204"/>
      <c r="D183" s="204"/>
      <c r="E183" s="204">
        <v>2.2499999999999999E-2</v>
      </c>
      <c r="F183" s="204">
        <v>2.2599999999999999E-2</v>
      </c>
      <c r="G183" s="204"/>
      <c r="H183" s="204"/>
      <c r="I183" s="204"/>
      <c r="J183" s="204"/>
      <c r="K183" s="204"/>
      <c r="L183" s="204"/>
      <c r="M183" s="204"/>
      <c r="N183" s="204"/>
    </row>
    <row r="184" spans="1:14" x14ac:dyDescent="0.2">
      <c r="A184" t="s">
        <v>142</v>
      </c>
      <c r="B184" t="s">
        <v>143</v>
      </c>
      <c r="C184" s="204"/>
      <c r="D184" s="204"/>
      <c r="E184" s="204">
        <v>8.8000000000000005E-3</v>
      </c>
      <c r="F184" s="204">
        <v>9.1999999999999998E-3</v>
      </c>
      <c r="G184" s="204"/>
      <c r="H184" s="204"/>
      <c r="I184" s="204"/>
      <c r="J184" s="204"/>
      <c r="K184" s="204"/>
      <c r="L184" s="204"/>
      <c r="M184" s="204"/>
      <c r="N184" s="204"/>
    </row>
    <row r="185" spans="1:14" x14ac:dyDescent="0.2">
      <c r="A185" t="s">
        <v>144</v>
      </c>
      <c r="B185" t="s">
        <v>145</v>
      </c>
      <c r="C185" s="204"/>
      <c r="D185" s="204"/>
      <c r="E185" s="204">
        <v>6.4000000000000003E-3</v>
      </c>
      <c r="F185" s="204">
        <v>8.0999999999999996E-3</v>
      </c>
      <c r="G185" s="204"/>
      <c r="H185" s="204"/>
      <c r="I185" s="204"/>
      <c r="J185" s="204"/>
      <c r="K185" s="204"/>
      <c r="L185" s="204"/>
      <c r="M185" s="204"/>
      <c r="N185" s="204"/>
    </row>
    <row r="186" spans="1:14" x14ac:dyDescent="0.2">
      <c r="A186" t="s">
        <v>146</v>
      </c>
      <c r="B186" t="s">
        <v>147</v>
      </c>
      <c r="C186" s="204"/>
      <c r="D186" s="204"/>
      <c r="E186" s="204">
        <v>0</v>
      </c>
      <c r="F186" s="204">
        <v>0</v>
      </c>
      <c r="G186" s="204"/>
      <c r="H186" s="204"/>
      <c r="I186" s="204"/>
      <c r="J186" s="204"/>
      <c r="K186" s="204"/>
      <c r="L186" s="204"/>
      <c r="M186" s="204"/>
      <c r="N186" s="204"/>
    </row>
    <row r="187" spans="1:14" x14ac:dyDescent="0.2">
      <c r="A187" t="s">
        <v>148</v>
      </c>
      <c r="B187" t="s">
        <v>149</v>
      </c>
      <c r="C187" s="204"/>
      <c r="D187" s="204"/>
      <c r="E187" s="204">
        <v>8.0000000000000002E-3</v>
      </c>
      <c r="F187" s="204">
        <v>8.0999999999999996E-3</v>
      </c>
      <c r="G187" s="204"/>
      <c r="H187" s="204"/>
      <c r="I187" s="204"/>
      <c r="J187" s="204"/>
      <c r="K187" s="204"/>
      <c r="L187" s="204"/>
      <c r="M187" s="204"/>
      <c r="N187" s="204"/>
    </row>
    <row r="188" spans="1:14" x14ac:dyDescent="0.2">
      <c r="A188" t="s">
        <v>150</v>
      </c>
      <c r="B188" t="s">
        <v>151</v>
      </c>
      <c r="C188" s="204"/>
      <c r="D188" s="204"/>
      <c r="E188" s="204">
        <v>3.7000000000000002E-3</v>
      </c>
      <c r="F188" s="204">
        <v>2.8999999999999998E-3</v>
      </c>
      <c r="G188" s="204"/>
      <c r="H188" s="204"/>
      <c r="I188" s="204"/>
      <c r="J188" s="204"/>
      <c r="K188" s="204"/>
      <c r="L188" s="204"/>
      <c r="M188" s="204"/>
      <c r="N188" s="204"/>
    </row>
    <row r="189" spans="1:14" x14ac:dyDescent="0.2">
      <c r="A189" t="s">
        <v>152</v>
      </c>
      <c r="B189" t="s">
        <v>153</v>
      </c>
      <c r="C189" s="204"/>
      <c r="D189" s="204"/>
      <c r="E189" s="204">
        <v>9.1999999999999998E-3</v>
      </c>
      <c r="F189" s="204">
        <v>1.0800000000000001E-2</v>
      </c>
      <c r="G189" s="204"/>
      <c r="H189" s="204"/>
      <c r="I189" s="204"/>
      <c r="J189" s="204"/>
      <c r="K189" s="204"/>
      <c r="L189" s="204"/>
      <c r="M189" s="204"/>
      <c r="N189" s="204"/>
    </row>
    <row r="190" spans="1:14" x14ac:dyDescent="0.2">
      <c r="A190" t="s">
        <v>154</v>
      </c>
      <c r="B190" t="s">
        <v>155</v>
      </c>
      <c r="C190" s="204"/>
      <c r="D190" s="204"/>
      <c r="E190" s="204">
        <v>3.3300000000000003E-2</v>
      </c>
      <c r="F190" s="204">
        <v>3.2899999999999999E-2</v>
      </c>
      <c r="G190" s="204"/>
      <c r="H190" s="204"/>
      <c r="I190" s="204"/>
      <c r="J190" s="204"/>
      <c r="K190" s="204"/>
      <c r="L190" s="204"/>
      <c r="M190" s="204"/>
      <c r="N190" s="204"/>
    </row>
    <row r="191" spans="1:14" x14ac:dyDescent="0.2">
      <c r="A191" t="s">
        <v>156</v>
      </c>
      <c r="B191" t="s">
        <v>157</v>
      </c>
      <c r="C191" s="204"/>
      <c r="D191" s="204"/>
      <c r="E191" s="204">
        <v>1.01E-2</v>
      </c>
      <c r="F191" s="204">
        <v>1.1299999999999999E-2</v>
      </c>
      <c r="G191" s="204"/>
      <c r="H191" s="204"/>
      <c r="I191" s="204"/>
      <c r="J191" s="204"/>
      <c r="K191" s="204"/>
      <c r="L191" s="204"/>
      <c r="M191" s="204"/>
      <c r="N191" s="204"/>
    </row>
    <row r="192" spans="1:14" x14ac:dyDescent="0.2">
      <c r="A192" t="s">
        <v>158</v>
      </c>
      <c r="B192" t="s">
        <v>159</v>
      </c>
      <c r="C192" s="204"/>
      <c r="D192" s="204"/>
      <c r="E192" s="204">
        <v>5.3E-3</v>
      </c>
      <c r="F192" s="204">
        <v>6.8999999999999999E-3</v>
      </c>
      <c r="G192" s="204"/>
      <c r="H192" s="204"/>
      <c r="I192" s="204"/>
      <c r="J192" s="204"/>
      <c r="K192" s="204"/>
      <c r="L192" s="204"/>
      <c r="M192" s="204"/>
      <c r="N192" s="204"/>
    </row>
    <row r="195" spans="1:14" x14ac:dyDescent="0.2">
      <c r="A195" t="s">
        <v>277</v>
      </c>
    </row>
    <row r="196" spans="1:14" x14ac:dyDescent="0.2">
      <c r="A196" t="s">
        <v>257</v>
      </c>
      <c r="B196" t="s">
        <v>258</v>
      </c>
      <c r="C196" t="s">
        <v>236</v>
      </c>
      <c r="D196" t="s">
        <v>15</v>
      </c>
      <c r="E196" t="s">
        <v>234</v>
      </c>
      <c r="F196" t="s">
        <v>259</v>
      </c>
      <c r="G196" t="s">
        <v>260</v>
      </c>
      <c r="H196" t="s">
        <v>261</v>
      </c>
      <c r="I196" t="s">
        <v>262</v>
      </c>
      <c r="J196" t="s">
        <v>263</v>
      </c>
      <c r="K196" t="s">
        <v>264</v>
      </c>
      <c r="L196" t="s">
        <v>265</v>
      </c>
      <c r="M196" t="s">
        <v>266</v>
      </c>
      <c r="N196" t="s">
        <v>267</v>
      </c>
    </row>
    <row r="197" spans="1:14" x14ac:dyDescent="0.2">
      <c r="A197" t="s">
        <v>26</v>
      </c>
      <c r="B197" t="s">
        <v>27</v>
      </c>
      <c r="C197" s="204"/>
      <c r="D197" s="204"/>
      <c r="E197" s="204">
        <v>2.7000000000000001E-3</v>
      </c>
      <c r="F197" s="204">
        <v>2.8E-3</v>
      </c>
      <c r="G197" s="204"/>
      <c r="H197" s="204"/>
      <c r="I197" s="204"/>
      <c r="J197" s="204"/>
      <c r="K197" s="204"/>
      <c r="L197" s="204"/>
      <c r="M197" s="204"/>
      <c r="N197" s="204"/>
    </row>
    <row r="198" spans="1:14" x14ac:dyDescent="0.2">
      <c r="A198" t="s">
        <v>28</v>
      </c>
      <c r="B198" t="s">
        <v>29</v>
      </c>
      <c r="C198" s="204"/>
      <c r="D198" s="204"/>
      <c r="E198" s="204">
        <v>3.0999999999999999E-3</v>
      </c>
      <c r="F198" s="204">
        <v>2.2000000000000001E-3</v>
      </c>
      <c r="G198" s="204"/>
      <c r="H198" s="204"/>
      <c r="I198" s="204"/>
      <c r="J198" s="204"/>
      <c r="K198" s="204"/>
      <c r="L198" s="204"/>
      <c r="M198" s="204"/>
      <c r="N198" s="204"/>
    </row>
    <row r="199" spans="1:14" x14ac:dyDescent="0.2">
      <c r="A199" t="s">
        <v>30</v>
      </c>
      <c r="B199" t="s">
        <v>31</v>
      </c>
      <c r="C199" s="204"/>
      <c r="D199" s="204"/>
      <c r="E199" s="204">
        <v>3.3999999999999998E-3</v>
      </c>
      <c r="F199" s="204">
        <v>2.5000000000000001E-3</v>
      </c>
      <c r="G199" s="204"/>
      <c r="H199" s="204"/>
      <c r="I199" s="204"/>
      <c r="J199" s="204"/>
      <c r="K199" s="204"/>
      <c r="L199" s="204"/>
      <c r="M199" s="204"/>
      <c r="N199" s="204"/>
    </row>
    <row r="200" spans="1:14" x14ac:dyDescent="0.2">
      <c r="A200" t="s">
        <v>32</v>
      </c>
      <c r="B200" t="s">
        <v>33</v>
      </c>
      <c r="C200" s="204"/>
      <c r="D200" s="204"/>
      <c r="E200" s="204">
        <v>5.9999999999999995E-4</v>
      </c>
      <c r="F200" s="204">
        <v>8.0000000000000004E-4</v>
      </c>
      <c r="G200" s="204"/>
      <c r="H200" s="204"/>
      <c r="I200" s="204"/>
      <c r="J200" s="204"/>
      <c r="K200" s="204"/>
      <c r="L200" s="204"/>
      <c r="M200" s="204"/>
      <c r="N200" s="204"/>
    </row>
    <row r="201" spans="1:14" x14ac:dyDescent="0.2">
      <c r="A201" t="s">
        <v>34</v>
      </c>
      <c r="B201" t="s">
        <v>35</v>
      </c>
      <c r="C201" s="204"/>
      <c r="D201" s="204"/>
      <c r="E201" s="204">
        <v>2.5999999999999999E-3</v>
      </c>
      <c r="F201" s="204">
        <v>2.5000000000000001E-3</v>
      </c>
      <c r="G201" s="204"/>
      <c r="H201" s="204"/>
      <c r="I201" s="204"/>
      <c r="J201" s="204"/>
      <c r="K201" s="204"/>
      <c r="L201" s="204"/>
      <c r="M201" s="204"/>
      <c r="N201" s="204"/>
    </row>
    <row r="202" spans="1:14" x14ac:dyDescent="0.2">
      <c r="A202" t="s">
        <v>36</v>
      </c>
      <c r="B202" t="s">
        <v>37</v>
      </c>
      <c r="C202" s="204"/>
      <c r="D202" s="204"/>
      <c r="E202" s="204">
        <v>2E-3</v>
      </c>
      <c r="F202" s="204">
        <v>3.0000000000000001E-3</v>
      </c>
      <c r="G202" s="204"/>
      <c r="H202" s="204"/>
      <c r="I202" s="204"/>
      <c r="J202" s="204"/>
      <c r="K202" s="204"/>
      <c r="L202" s="204"/>
      <c r="M202" s="204"/>
      <c r="N202" s="204"/>
    </row>
    <row r="203" spans="1:14" x14ac:dyDescent="0.2">
      <c r="A203" t="s">
        <v>38</v>
      </c>
      <c r="B203" t="s">
        <v>39</v>
      </c>
      <c r="C203" s="204"/>
      <c r="D203" s="204"/>
      <c r="E203" s="204">
        <v>3.7000000000000002E-3</v>
      </c>
      <c r="F203" s="204">
        <v>2.7000000000000001E-3</v>
      </c>
      <c r="G203" s="204"/>
      <c r="H203" s="204"/>
      <c r="I203" s="204"/>
      <c r="J203" s="204"/>
      <c r="K203" s="204"/>
      <c r="L203" s="204"/>
      <c r="M203" s="204"/>
      <c r="N203" s="204"/>
    </row>
    <row r="204" spans="1:14" x14ac:dyDescent="0.2">
      <c r="A204" t="s">
        <v>40</v>
      </c>
      <c r="B204" t="s">
        <v>41</v>
      </c>
      <c r="C204" s="204"/>
      <c r="D204" s="204"/>
      <c r="E204" s="204">
        <v>2.5999999999999999E-3</v>
      </c>
      <c r="F204" s="204">
        <v>4.1000000000000003E-3</v>
      </c>
      <c r="G204" s="204"/>
      <c r="H204" s="204"/>
      <c r="I204" s="204"/>
      <c r="J204" s="204"/>
      <c r="K204" s="204"/>
      <c r="L204" s="204"/>
      <c r="M204" s="204"/>
      <c r="N204" s="204"/>
    </row>
    <row r="205" spans="1:14" x14ac:dyDescent="0.2">
      <c r="A205" t="s">
        <v>42</v>
      </c>
      <c r="B205" t="s">
        <v>43</v>
      </c>
      <c r="C205" s="204"/>
      <c r="D205" s="204"/>
      <c r="E205" s="204">
        <v>4.4000000000000003E-3</v>
      </c>
      <c r="F205" s="204">
        <v>2.8999999999999998E-3</v>
      </c>
      <c r="G205" s="204"/>
      <c r="H205" s="204"/>
      <c r="I205" s="204"/>
      <c r="J205" s="204"/>
      <c r="K205" s="204"/>
      <c r="L205" s="204"/>
      <c r="M205" s="204"/>
      <c r="N205" s="204"/>
    </row>
    <row r="206" spans="1:14" x14ac:dyDescent="0.2">
      <c r="A206" t="s">
        <v>44</v>
      </c>
      <c r="B206" t="s">
        <v>45</v>
      </c>
      <c r="C206" s="204"/>
      <c r="D206" s="204"/>
      <c r="E206" s="204">
        <v>2.3999999999999998E-3</v>
      </c>
      <c r="F206" s="204">
        <v>2.8E-3</v>
      </c>
      <c r="G206" s="204"/>
      <c r="H206" s="204"/>
      <c r="I206" s="204"/>
      <c r="J206" s="204"/>
      <c r="K206" s="204"/>
      <c r="L206" s="204"/>
      <c r="M206" s="204"/>
      <c r="N206" s="204"/>
    </row>
    <row r="207" spans="1:14" x14ac:dyDescent="0.2">
      <c r="A207" t="s">
        <v>46</v>
      </c>
      <c r="B207" t="s">
        <v>47</v>
      </c>
      <c r="C207" s="204"/>
      <c r="D207" s="204"/>
      <c r="E207" s="204">
        <v>3.7000000000000002E-3</v>
      </c>
      <c r="F207" s="204">
        <v>5.7999999999999996E-3</v>
      </c>
      <c r="G207" s="204"/>
      <c r="H207" s="204"/>
      <c r="I207" s="204"/>
      <c r="J207" s="204"/>
      <c r="K207" s="204"/>
      <c r="L207" s="204"/>
      <c r="M207" s="204"/>
      <c r="N207" s="204"/>
    </row>
    <row r="208" spans="1:14" x14ac:dyDescent="0.2">
      <c r="A208" t="s">
        <v>48</v>
      </c>
      <c r="B208" t="s">
        <v>49</v>
      </c>
      <c r="C208" s="204"/>
      <c r="D208" s="204"/>
      <c r="E208" s="204">
        <v>3.3E-3</v>
      </c>
      <c r="F208" s="204">
        <v>3.5999999999999999E-3</v>
      </c>
      <c r="G208" s="204"/>
      <c r="H208" s="204"/>
      <c r="I208" s="204"/>
      <c r="J208" s="204"/>
      <c r="K208" s="204"/>
      <c r="L208" s="204"/>
      <c r="M208" s="204"/>
      <c r="N208" s="204"/>
    </row>
    <row r="209" spans="1:14" x14ac:dyDescent="0.2">
      <c r="A209" t="s">
        <v>50</v>
      </c>
      <c r="B209" t="s">
        <v>51</v>
      </c>
      <c r="C209" s="204"/>
      <c r="D209" s="204"/>
      <c r="E209" s="204">
        <v>4.0000000000000001E-3</v>
      </c>
      <c r="F209" s="204">
        <v>4.4999999999999997E-3</v>
      </c>
      <c r="G209" s="204"/>
      <c r="H209" s="204"/>
      <c r="I209" s="204"/>
      <c r="J209" s="204"/>
      <c r="K209" s="204"/>
      <c r="L209" s="204"/>
      <c r="M209" s="204"/>
      <c r="N209" s="204"/>
    </row>
    <row r="210" spans="1:14" x14ac:dyDescent="0.2">
      <c r="A210" t="s">
        <v>52</v>
      </c>
      <c r="B210" t="s">
        <v>53</v>
      </c>
      <c r="C210" s="204"/>
      <c r="D210" s="204"/>
      <c r="E210" s="204">
        <v>3.5000000000000001E-3</v>
      </c>
      <c r="F210" s="204">
        <v>3.5999999999999999E-3</v>
      </c>
      <c r="G210" s="204"/>
      <c r="H210" s="204"/>
      <c r="I210" s="204"/>
      <c r="J210" s="204"/>
      <c r="K210" s="204"/>
      <c r="L210" s="204"/>
      <c r="M210" s="204"/>
      <c r="N210" s="204"/>
    </row>
    <row r="211" spans="1:14" x14ac:dyDescent="0.2">
      <c r="A211" t="s">
        <v>54</v>
      </c>
      <c r="B211" t="s">
        <v>55</v>
      </c>
      <c r="C211" s="204"/>
      <c r="D211" s="204"/>
      <c r="E211" s="204">
        <v>4.7000000000000002E-3</v>
      </c>
      <c r="F211" s="204">
        <v>3.5999999999999999E-3</v>
      </c>
      <c r="G211" s="204"/>
      <c r="H211" s="204"/>
      <c r="I211" s="204"/>
      <c r="J211" s="204"/>
      <c r="K211" s="204"/>
      <c r="L211" s="204"/>
      <c r="M211" s="204"/>
      <c r="N211" s="204"/>
    </row>
    <row r="212" spans="1:14" x14ac:dyDescent="0.2">
      <c r="A212" t="s">
        <v>56</v>
      </c>
      <c r="B212" t="s">
        <v>57</v>
      </c>
      <c r="C212" s="204"/>
      <c r="D212" s="204"/>
      <c r="E212" s="204">
        <v>5.3E-3</v>
      </c>
      <c r="F212" s="204">
        <v>4.7999999999999996E-3</v>
      </c>
      <c r="G212" s="204"/>
      <c r="H212" s="204"/>
      <c r="I212" s="204"/>
      <c r="J212" s="204"/>
      <c r="K212" s="204"/>
      <c r="L212" s="204"/>
      <c r="M212" s="204"/>
      <c r="N212" s="204"/>
    </row>
    <row r="213" spans="1:14" x14ac:dyDescent="0.2">
      <c r="A213" t="s">
        <v>58</v>
      </c>
      <c r="B213" t="s">
        <v>59</v>
      </c>
      <c r="C213" s="204"/>
      <c r="D213" s="204"/>
      <c r="E213" s="204">
        <v>4.4000000000000003E-3</v>
      </c>
      <c r="F213" s="204">
        <v>4.7999999999999996E-3</v>
      </c>
      <c r="G213" s="204"/>
      <c r="H213" s="204"/>
      <c r="I213" s="204"/>
      <c r="J213" s="204"/>
      <c r="K213" s="204"/>
      <c r="L213" s="204"/>
      <c r="M213" s="204"/>
      <c r="N213" s="204"/>
    </row>
    <row r="214" spans="1:14" x14ac:dyDescent="0.2">
      <c r="A214" t="s">
        <v>60</v>
      </c>
      <c r="B214" t="s">
        <v>61</v>
      </c>
      <c r="C214" s="204"/>
      <c r="D214" s="204"/>
      <c r="E214" s="204">
        <v>7.4999999999999997E-3</v>
      </c>
      <c r="F214" s="204">
        <v>8.5000000000000006E-3</v>
      </c>
      <c r="G214" s="204"/>
      <c r="H214" s="204"/>
      <c r="I214" s="204"/>
      <c r="J214" s="204"/>
      <c r="K214" s="204"/>
      <c r="L214" s="204"/>
      <c r="M214" s="204"/>
      <c r="N214" s="204"/>
    </row>
    <row r="215" spans="1:14" x14ac:dyDescent="0.2">
      <c r="A215" t="s">
        <v>62</v>
      </c>
      <c r="B215" t="s">
        <v>63</v>
      </c>
      <c r="C215" s="204"/>
      <c r="D215" s="204"/>
      <c r="E215" s="204">
        <v>3.3E-3</v>
      </c>
      <c r="F215" s="204">
        <v>4.1000000000000003E-3</v>
      </c>
      <c r="G215" s="204"/>
      <c r="H215" s="204"/>
      <c r="I215" s="204"/>
      <c r="J215" s="204"/>
      <c r="K215" s="204"/>
      <c r="L215" s="204"/>
      <c r="M215" s="204"/>
      <c r="N215" s="204"/>
    </row>
    <row r="216" spans="1:14" x14ac:dyDescent="0.2">
      <c r="A216" t="s">
        <v>64</v>
      </c>
      <c r="B216" t="s">
        <v>65</v>
      </c>
      <c r="C216" s="204"/>
      <c r="D216" s="204"/>
      <c r="E216" s="204">
        <v>7.3000000000000001E-3</v>
      </c>
      <c r="F216" s="204">
        <v>1.0200000000000001E-2</v>
      </c>
      <c r="G216" s="204"/>
      <c r="H216" s="204"/>
      <c r="I216" s="204"/>
      <c r="J216" s="204"/>
      <c r="K216" s="204"/>
      <c r="L216" s="204"/>
      <c r="M216" s="204"/>
      <c r="N216" s="204"/>
    </row>
    <row r="217" spans="1:14" x14ac:dyDescent="0.2">
      <c r="A217" t="s">
        <v>66</v>
      </c>
      <c r="B217" t="s">
        <v>67</v>
      </c>
      <c r="C217" s="204"/>
      <c r="D217" s="204"/>
      <c r="E217" s="204">
        <v>9.1000000000000004E-3</v>
      </c>
      <c r="F217" s="204">
        <v>5.8999999999999999E-3</v>
      </c>
      <c r="G217" s="204"/>
      <c r="H217" s="204"/>
      <c r="I217" s="204"/>
      <c r="J217" s="204"/>
      <c r="K217" s="204"/>
      <c r="L217" s="204"/>
      <c r="M217" s="204"/>
      <c r="N217" s="204"/>
    </row>
    <row r="218" spans="1:14" x14ac:dyDescent="0.2">
      <c r="A218" t="s">
        <v>68</v>
      </c>
      <c r="B218" t="s">
        <v>69</v>
      </c>
      <c r="C218" s="204"/>
      <c r="D218" s="204"/>
      <c r="E218" s="204">
        <v>4.0000000000000001E-3</v>
      </c>
      <c r="F218" s="204">
        <v>3.2000000000000002E-3</v>
      </c>
      <c r="G218" s="204"/>
      <c r="H218" s="204"/>
      <c r="I218" s="204"/>
      <c r="J218" s="204"/>
      <c r="K218" s="204"/>
      <c r="L218" s="204"/>
      <c r="M218" s="204"/>
      <c r="N218" s="204"/>
    </row>
    <row r="219" spans="1:14" x14ac:dyDescent="0.2">
      <c r="A219" t="s">
        <v>70</v>
      </c>
      <c r="B219" t="s">
        <v>71</v>
      </c>
      <c r="C219" s="204"/>
      <c r="D219" s="204"/>
      <c r="E219" s="204">
        <v>2.0999999999999999E-3</v>
      </c>
      <c r="F219" s="204">
        <v>3.8E-3</v>
      </c>
      <c r="G219" s="204"/>
      <c r="H219" s="204"/>
      <c r="I219" s="204"/>
      <c r="J219" s="204"/>
      <c r="K219" s="204"/>
      <c r="L219" s="204"/>
      <c r="M219" s="204"/>
      <c r="N219" s="204"/>
    </row>
    <row r="220" spans="1:14" x14ac:dyDescent="0.2">
      <c r="A220" t="s">
        <v>72</v>
      </c>
      <c r="B220" t="s">
        <v>73</v>
      </c>
      <c r="C220" s="204"/>
      <c r="D220" s="204"/>
      <c r="E220" s="204">
        <v>4.4000000000000003E-3</v>
      </c>
      <c r="F220" s="204">
        <v>6.3E-3</v>
      </c>
      <c r="G220" s="204"/>
      <c r="H220" s="204"/>
      <c r="I220" s="204"/>
      <c r="J220" s="204"/>
      <c r="K220" s="204"/>
      <c r="L220" s="204"/>
      <c r="M220" s="204"/>
      <c r="N220" s="204"/>
    </row>
    <row r="221" spans="1:14" x14ac:dyDescent="0.2">
      <c r="A221" t="s">
        <v>74</v>
      </c>
      <c r="B221" t="s">
        <v>75</v>
      </c>
      <c r="C221" s="204"/>
      <c r="D221" s="204"/>
      <c r="E221" s="204">
        <v>4.7000000000000002E-3</v>
      </c>
      <c r="F221" s="204">
        <v>6.3E-3</v>
      </c>
      <c r="G221" s="204"/>
      <c r="H221" s="204"/>
      <c r="I221" s="204"/>
      <c r="J221" s="204"/>
      <c r="K221" s="204"/>
      <c r="L221" s="204"/>
      <c r="M221" s="204"/>
      <c r="N221" s="204"/>
    </row>
    <row r="222" spans="1:14" x14ac:dyDescent="0.2">
      <c r="A222" t="s">
        <v>76</v>
      </c>
      <c r="B222" t="s">
        <v>77</v>
      </c>
      <c r="C222" s="204"/>
      <c r="D222" s="204"/>
      <c r="E222" s="204">
        <v>4.7000000000000002E-3</v>
      </c>
      <c r="F222" s="204">
        <v>6.3E-3</v>
      </c>
      <c r="G222" s="204"/>
      <c r="H222" s="204"/>
      <c r="I222" s="204"/>
      <c r="J222" s="204"/>
      <c r="K222" s="204"/>
      <c r="L222" s="204"/>
      <c r="M222" s="204"/>
      <c r="N222" s="204"/>
    </row>
    <row r="223" spans="1:14" x14ac:dyDescent="0.2">
      <c r="A223" t="s">
        <v>78</v>
      </c>
      <c r="B223" t="s">
        <v>79</v>
      </c>
      <c r="C223" s="204"/>
      <c r="D223" s="204"/>
      <c r="E223" s="204">
        <v>3.7000000000000002E-3</v>
      </c>
      <c r="F223" s="204">
        <v>3.3999999999999998E-3</v>
      </c>
      <c r="G223" s="204"/>
      <c r="H223" s="204"/>
      <c r="I223" s="204"/>
      <c r="J223" s="204"/>
      <c r="K223" s="204"/>
      <c r="L223" s="204"/>
      <c r="M223" s="204"/>
      <c r="N223" s="204"/>
    </row>
    <row r="224" spans="1:14" x14ac:dyDescent="0.2">
      <c r="A224" t="s">
        <v>80</v>
      </c>
      <c r="B224" t="s">
        <v>81</v>
      </c>
      <c r="C224" s="204"/>
      <c r="D224" s="204"/>
      <c r="E224" s="204">
        <v>1.5100000000000001E-2</v>
      </c>
      <c r="F224" s="204">
        <v>1.5900000000000001E-2</v>
      </c>
      <c r="G224" s="204"/>
      <c r="H224" s="204"/>
      <c r="I224" s="204"/>
      <c r="J224" s="204"/>
      <c r="K224" s="204"/>
      <c r="L224" s="204"/>
      <c r="M224" s="204"/>
      <c r="N224" s="204"/>
    </row>
    <row r="225" spans="1:14" x14ac:dyDescent="0.2">
      <c r="A225" t="s">
        <v>82</v>
      </c>
      <c r="B225" t="s">
        <v>83</v>
      </c>
      <c r="C225" s="204"/>
      <c r="D225" s="204"/>
      <c r="E225" s="204">
        <v>6.1999999999999998E-3</v>
      </c>
      <c r="F225" s="204">
        <v>1.18E-2</v>
      </c>
      <c r="G225" s="204"/>
      <c r="H225" s="204"/>
      <c r="I225" s="204"/>
      <c r="J225" s="204"/>
      <c r="K225" s="204"/>
      <c r="L225" s="204"/>
      <c r="M225" s="204"/>
      <c r="N225" s="204"/>
    </row>
    <row r="226" spans="1:14" x14ac:dyDescent="0.2">
      <c r="A226" t="s">
        <v>84</v>
      </c>
      <c r="B226" t="s">
        <v>85</v>
      </c>
      <c r="C226" s="204"/>
      <c r="D226" s="204"/>
      <c r="E226" s="204">
        <v>5.8999999999999999E-3</v>
      </c>
      <c r="F226" s="204">
        <v>7.0000000000000001E-3</v>
      </c>
      <c r="G226" s="204"/>
      <c r="H226" s="204"/>
      <c r="I226" s="204"/>
      <c r="J226" s="204"/>
      <c r="K226" s="204"/>
      <c r="L226" s="204"/>
      <c r="M226" s="204"/>
      <c r="N226" s="204"/>
    </row>
    <row r="227" spans="1:14" x14ac:dyDescent="0.2">
      <c r="A227" t="s">
        <v>86</v>
      </c>
      <c r="B227" t="s">
        <v>87</v>
      </c>
      <c r="C227" s="204"/>
      <c r="D227" s="204"/>
      <c r="E227" s="204">
        <v>5.3E-3</v>
      </c>
      <c r="F227" s="204">
        <v>8.0999999999999996E-3</v>
      </c>
      <c r="G227" s="204"/>
      <c r="H227" s="204"/>
      <c r="I227" s="204"/>
      <c r="J227" s="204"/>
      <c r="K227" s="204"/>
      <c r="L227" s="204"/>
      <c r="M227" s="204"/>
      <c r="N227" s="204"/>
    </row>
    <row r="228" spans="1:14" x14ac:dyDescent="0.2">
      <c r="A228" t="s">
        <v>88</v>
      </c>
      <c r="B228" t="s">
        <v>89</v>
      </c>
      <c r="C228" s="204"/>
      <c r="D228" s="204"/>
      <c r="E228" s="204">
        <v>3.8999999999999998E-3</v>
      </c>
      <c r="F228" s="204">
        <v>5.7000000000000002E-3</v>
      </c>
      <c r="G228" s="204"/>
      <c r="H228" s="204"/>
      <c r="I228" s="204"/>
      <c r="J228" s="204"/>
      <c r="K228" s="204"/>
      <c r="L228" s="204"/>
      <c r="M228" s="204"/>
      <c r="N228" s="204"/>
    </row>
    <row r="229" spans="1:14" x14ac:dyDescent="0.2">
      <c r="A229" t="s">
        <v>90</v>
      </c>
      <c r="B229" t="s">
        <v>91</v>
      </c>
      <c r="C229" s="204"/>
      <c r="D229" s="204"/>
      <c r="E229" s="204">
        <v>5.4999999999999997E-3</v>
      </c>
      <c r="F229" s="204">
        <v>5.7000000000000002E-3</v>
      </c>
      <c r="G229" s="204"/>
      <c r="H229" s="204"/>
      <c r="I229" s="204"/>
      <c r="J229" s="204"/>
      <c r="K229" s="204"/>
      <c r="L229" s="204"/>
      <c r="M229" s="204"/>
      <c r="N229" s="204"/>
    </row>
    <row r="230" spans="1:14" x14ac:dyDescent="0.2">
      <c r="A230" t="s">
        <v>92</v>
      </c>
      <c r="B230" t="s">
        <v>93</v>
      </c>
      <c r="C230" s="204"/>
      <c r="D230" s="204"/>
      <c r="E230" s="204">
        <v>7.3000000000000001E-3</v>
      </c>
      <c r="F230" s="204">
        <v>6.4999999999999997E-3</v>
      </c>
      <c r="G230" s="204"/>
      <c r="H230" s="204"/>
      <c r="I230" s="204"/>
      <c r="J230" s="204"/>
      <c r="K230" s="204"/>
      <c r="L230" s="204"/>
      <c r="M230" s="204"/>
      <c r="N230" s="204"/>
    </row>
    <row r="231" spans="1:14" x14ac:dyDescent="0.2">
      <c r="A231" t="s">
        <v>94</v>
      </c>
      <c r="B231" t="s">
        <v>95</v>
      </c>
      <c r="C231" s="204"/>
      <c r="D231" s="204"/>
      <c r="E231" s="204">
        <v>3.3999999999999998E-3</v>
      </c>
      <c r="F231" s="204">
        <v>3.3E-3</v>
      </c>
      <c r="G231" s="204"/>
      <c r="H231" s="204"/>
      <c r="I231" s="204"/>
      <c r="J231" s="204"/>
      <c r="K231" s="204"/>
      <c r="L231" s="204"/>
      <c r="M231" s="204"/>
      <c r="N231" s="204"/>
    </row>
    <row r="232" spans="1:14" x14ac:dyDescent="0.2">
      <c r="A232" t="s">
        <v>96</v>
      </c>
      <c r="B232" t="s">
        <v>97</v>
      </c>
      <c r="C232" s="204"/>
      <c r="D232" s="204"/>
      <c r="E232" s="204">
        <v>1.1999999999999999E-3</v>
      </c>
      <c r="F232" s="204">
        <v>1.2999999999999999E-3</v>
      </c>
      <c r="G232" s="204"/>
      <c r="H232" s="204"/>
      <c r="I232" s="204"/>
      <c r="J232" s="204"/>
      <c r="K232" s="204"/>
      <c r="L232" s="204"/>
      <c r="M232" s="204"/>
      <c r="N232" s="204"/>
    </row>
    <row r="233" spans="1:14" x14ac:dyDescent="0.2">
      <c r="A233" t="s">
        <v>98</v>
      </c>
      <c r="B233" t="s">
        <v>99</v>
      </c>
      <c r="C233" s="204"/>
      <c r="D233" s="204"/>
      <c r="E233" s="204">
        <v>1E-3</v>
      </c>
      <c r="F233" s="204">
        <v>1.1000000000000001E-3</v>
      </c>
      <c r="G233" s="204"/>
      <c r="H233" s="204"/>
      <c r="I233" s="204"/>
      <c r="J233" s="204"/>
      <c r="K233" s="204"/>
      <c r="L233" s="204"/>
      <c r="M233" s="204"/>
      <c r="N233" s="204"/>
    </row>
    <row r="234" spans="1:14" x14ac:dyDescent="0.2">
      <c r="A234" t="s">
        <v>100</v>
      </c>
      <c r="B234" t="s">
        <v>101</v>
      </c>
      <c r="C234" s="204"/>
      <c r="D234" s="204"/>
      <c r="E234" s="204">
        <v>2.3E-3</v>
      </c>
      <c r="F234" s="204">
        <v>2.3E-3</v>
      </c>
      <c r="G234" s="204"/>
      <c r="H234" s="204"/>
      <c r="I234" s="204"/>
      <c r="J234" s="204"/>
      <c r="K234" s="204"/>
      <c r="L234" s="204"/>
      <c r="M234" s="204"/>
      <c r="N234" s="204"/>
    </row>
    <row r="235" spans="1:14" x14ac:dyDescent="0.2">
      <c r="A235" t="s">
        <v>102</v>
      </c>
      <c r="B235" t="s">
        <v>103</v>
      </c>
      <c r="C235" s="204"/>
      <c r="D235" s="204"/>
      <c r="E235" s="204">
        <v>2.0999999999999999E-3</v>
      </c>
      <c r="F235" s="204">
        <v>2.5999999999999999E-3</v>
      </c>
      <c r="G235" s="204"/>
      <c r="H235" s="204"/>
      <c r="I235" s="204"/>
      <c r="J235" s="204"/>
      <c r="K235" s="204"/>
      <c r="L235" s="204"/>
      <c r="M235" s="204"/>
      <c r="N235" s="204"/>
    </row>
    <row r="236" spans="1:14" x14ac:dyDescent="0.2">
      <c r="A236" t="s">
        <v>104</v>
      </c>
      <c r="B236" t="s">
        <v>105</v>
      </c>
      <c r="C236" s="204"/>
      <c r="D236" s="204"/>
      <c r="E236" s="204">
        <v>2.8999999999999998E-3</v>
      </c>
      <c r="F236" s="204">
        <v>2.8E-3</v>
      </c>
      <c r="G236" s="204"/>
      <c r="H236" s="204"/>
      <c r="I236" s="204"/>
      <c r="J236" s="204"/>
      <c r="K236" s="204"/>
      <c r="L236" s="204"/>
      <c r="M236" s="204"/>
      <c r="N236" s="204"/>
    </row>
    <row r="237" spans="1:14" x14ac:dyDescent="0.2">
      <c r="A237" t="s">
        <v>106</v>
      </c>
      <c r="B237" t="s">
        <v>107</v>
      </c>
      <c r="C237" s="204"/>
      <c r="D237" s="204"/>
      <c r="E237" s="204">
        <v>1.4E-3</v>
      </c>
      <c r="F237" s="204">
        <v>1.1999999999999999E-3</v>
      </c>
      <c r="G237" s="204"/>
      <c r="H237" s="204"/>
      <c r="I237" s="204"/>
      <c r="J237" s="204"/>
      <c r="K237" s="204"/>
      <c r="L237" s="204"/>
      <c r="M237" s="204"/>
      <c r="N237" s="204"/>
    </row>
    <row r="238" spans="1:14" x14ac:dyDescent="0.2">
      <c r="A238" t="s">
        <v>108</v>
      </c>
      <c r="B238" t="s">
        <v>109</v>
      </c>
      <c r="C238" s="204"/>
      <c r="D238" s="204"/>
      <c r="E238" s="204">
        <v>2.5999999999999999E-3</v>
      </c>
      <c r="F238" s="204">
        <v>2.8999999999999998E-3</v>
      </c>
      <c r="G238" s="204"/>
      <c r="H238" s="204"/>
      <c r="I238" s="204"/>
      <c r="J238" s="204"/>
      <c r="K238" s="204"/>
      <c r="L238" s="204"/>
      <c r="M238" s="204"/>
      <c r="N238" s="204"/>
    </row>
    <row r="239" spans="1:14" x14ac:dyDescent="0.2">
      <c r="A239" t="s">
        <v>110</v>
      </c>
      <c r="B239" t="s">
        <v>111</v>
      </c>
      <c r="C239" s="204"/>
      <c r="D239" s="204"/>
      <c r="E239" s="204">
        <v>4.8999999999999998E-3</v>
      </c>
      <c r="F239" s="204">
        <v>5.5999999999999999E-3</v>
      </c>
      <c r="G239" s="204"/>
      <c r="H239" s="204"/>
      <c r="I239" s="204"/>
      <c r="J239" s="204"/>
      <c r="K239" s="204"/>
      <c r="L239" s="204"/>
      <c r="M239" s="204"/>
      <c r="N239" s="204"/>
    </row>
    <row r="240" spans="1:14" x14ac:dyDescent="0.2">
      <c r="A240" t="s">
        <v>112</v>
      </c>
      <c r="B240" t="s">
        <v>113</v>
      </c>
      <c r="C240" s="204"/>
      <c r="D240" s="204"/>
      <c r="E240" s="204">
        <v>4.1000000000000003E-3</v>
      </c>
      <c r="F240" s="204">
        <v>6.7000000000000002E-3</v>
      </c>
      <c r="G240" s="204"/>
      <c r="H240" s="204"/>
      <c r="I240" s="204"/>
      <c r="J240" s="204"/>
      <c r="K240" s="204"/>
      <c r="L240" s="204"/>
      <c r="M240" s="204"/>
      <c r="N240" s="204"/>
    </row>
    <row r="241" spans="1:14" x14ac:dyDescent="0.2">
      <c r="A241" t="s">
        <v>114</v>
      </c>
      <c r="B241" t="s">
        <v>115</v>
      </c>
      <c r="C241" s="204"/>
      <c r="D241" s="204"/>
      <c r="E241" s="204">
        <v>8.0000000000000004E-4</v>
      </c>
      <c r="F241" s="204">
        <v>1.8E-3</v>
      </c>
      <c r="G241" s="204"/>
      <c r="H241" s="204"/>
      <c r="I241" s="204"/>
      <c r="J241" s="204"/>
      <c r="K241" s="204"/>
      <c r="L241" s="204"/>
      <c r="M241" s="204"/>
      <c r="N241" s="204"/>
    </row>
    <row r="242" spans="1:14" x14ac:dyDescent="0.2">
      <c r="A242" t="s">
        <v>116</v>
      </c>
      <c r="B242" t="s">
        <v>117</v>
      </c>
      <c r="C242" s="204"/>
      <c r="D242" s="204"/>
      <c r="E242" s="204">
        <v>3.8E-3</v>
      </c>
      <c r="F242" s="204">
        <v>3.5000000000000001E-3</v>
      </c>
      <c r="G242" s="204"/>
      <c r="H242" s="204"/>
      <c r="I242" s="204"/>
      <c r="J242" s="204"/>
      <c r="K242" s="204"/>
      <c r="L242" s="204"/>
      <c r="M242" s="204"/>
      <c r="N242" s="204"/>
    </row>
    <row r="243" spans="1:14" x14ac:dyDescent="0.2">
      <c r="A243" t="s">
        <v>118</v>
      </c>
      <c r="B243" t="s">
        <v>119</v>
      </c>
      <c r="C243" s="204"/>
      <c r="D243" s="204"/>
      <c r="E243" s="204">
        <v>1.6999999999999999E-3</v>
      </c>
      <c r="F243" s="204">
        <v>1.8E-3</v>
      </c>
      <c r="G243" s="204"/>
      <c r="H243" s="204"/>
      <c r="I243" s="204"/>
      <c r="J243" s="204"/>
      <c r="K243" s="204"/>
      <c r="L243" s="204"/>
      <c r="M243" s="204"/>
      <c r="N243" s="204"/>
    </row>
    <row r="244" spans="1:14" x14ac:dyDescent="0.2">
      <c r="A244" t="s">
        <v>120</v>
      </c>
      <c r="B244" t="s">
        <v>121</v>
      </c>
      <c r="C244" s="204"/>
      <c r="D244" s="204"/>
      <c r="E244" s="204">
        <v>3.0000000000000001E-3</v>
      </c>
      <c r="F244" s="204">
        <v>3.5999999999999999E-3</v>
      </c>
      <c r="G244" s="204"/>
      <c r="H244" s="204"/>
      <c r="I244" s="204"/>
      <c r="J244" s="204"/>
      <c r="K244" s="204"/>
      <c r="L244" s="204"/>
      <c r="M244" s="204"/>
      <c r="N244" s="204"/>
    </row>
    <row r="245" spans="1:14" x14ac:dyDescent="0.2">
      <c r="A245" t="s">
        <v>122</v>
      </c>
      <c r="B245" t="s">
        <v>123</v>
      </c>
      <c r="C245" s="204"/>
      <c r="D245" s="204"/>
      <c r="E245" s="204">
        <v>3.2000000000000002E-3</v>
      </c>
      <c r="F245" s="204">
        <v>6.1999999999999998E-3</v>
      </c>
      <c r="G245" s="204"/>
      <c r="H245" s="204"/>
      <c r="I245" s="204"/>
      <c r="J245" s="204"/>
      <c r="K245" s="204"/>
      <c r="L245" s="204"/>
      <c r="M245" s="204"/>
      <c r="N245" s="204"/>
    </row>
    <row r="246" spans="1:14" x14ac:dyDescent="0.2">
      <c r="A246" t="s">
        <v>124</v>
      </c>
      <c r="B246" t="s">
        <v>125</v>
      </c>
      <c r="C246" s="204"/>
      <c r="D246" s="204"/>
      <c r="E246" s="204">
        <v>3.9399999999999998E-2</v>
      </c>
      <c r="F246" s="204">
        <v>4.5900000000000003E-2</v>
      </c>
      <c r="G246" s="204"/>
      <c r="H246" s="204"/>
      <c r="I246" s="204"/>
      <c r="J246" s="204"/>
      <c r="K246" s="204"/>
      <c r="L246" s="204"/>
      <c r="M246" s="204"/>
      <c r="N246" s="204"/>
    </row>
    <row r="247" spans="1:14" x14ac:dyDescent="0.2">
      <c r="A247" t="s">
        <v>126</v>
      </c>
      <c r="B247" t="s">
        <v>127</v>
      </c>
      <c r="C247" s="204"/>
      <c r="D247" s="204"/>
      <c r="E247" s="204">
        <v>8.3999999999999995E-3</v>
      </c>
      <c r="F247" s="204">
        <v>1.0500000000000001E-2</v>
      </c>
      <c r="G247" s="204"/>
      <c r="H247" s="204"/>
      <c r="I247" s="204"/>
      <c r="J247" s="204"/>
      <c r="K247" s="204"/>
      <c r="L247" s="204"/>
      <c r="M247" s="204"/>
      <c r="N247" s="204"/>
    </row>
    <row r="248" spans="1:14" x14ac:dyDescent="0.2">
      <c r="A248" t="s">
        <v>128</v>
      </c>
      <c r="B248" t="s">
        <v>129</v>
      </c>
      <c r="C248" s="204"/>
      <c r="D248" s="204"/>
      <c r="E248" s="204">
        <v>2.8999999999999998E-3</v>
      </c>
      <c r="F248" s="204">
        <v>3.2000000000000002E-3</v>
      </c>
      <c r="G248" s="204"/>
      <c r="H248" s="204"/>
      <c r="I248" s="204"/>
      <c r="J248" s="204"/>
      <c r="K248" s="204"/>
      <c r="L248" s="204"/>
      <c r="M248" s="204"/>
      <c r="N248" s="204"/>
    </row>
    <row r="249" spans="1:14" x14ac:dyDescent="0.2">
      <c r="A249" t="s">
        <v>130</v>
      </c>
      <c r="B249" t="s">
        <v>131</v>
      </c>
      <c r="C249" s="204"/>
      <c r="D249" s="204"/>
      <c r="E249" s="204">
        <v>4.1000000000000003E-3</v>
      </c>
      <c r="F249" s="204">
        <v>3.5999999999999999E-3</v>
      </c>
      <c r="G249" s="204"/>
      <c r="H249" s="204"/>
      <c r="I249" s="204"/>
      <c r="J249" s="204"/>
      <c r="K249" s="204"/>
      <c r="L249" s="204"/>
      <c r="M249" s="204"/>
      <c r="N249" s="204"/>
    </row>
    <row r="250" spans="1:14" x14ac:dyDescent="0.2">
      <c r="A250" t="s">
        <v>132</v>
      </c>
      <c r="B250" t="s">
        <v>133</v>
      </c>
      <c r="C250" s="204"/>
      <c r="D250" s="204"/>
      <c r="E250" s="204">
        <v>5.5999999999999999E-3</v>
      </c>
      <c r="F250" s="204">
        <v>4.7000000000000002E-3</v>
      </c>
      <c r="G250" s="204"/>
      <c r="H250" s="204"/>
      <c r="I250" s="204"/>
      <c r="J250" s="204"/>
      <c r="K250" s="204"/>
      <c r="L250" s="204"/>
      <c r="M250" s="204"/>
      <c r="N250" s="204"/>
    </row>
    <row r="251" spans="1:14" x14ac:dyDescent="0.2">
      <c r="A251" t="s">
        <v>134</v>
      </c>
      <c r="B251" t="s">
        <v>135</v>
      </c>
      <c r="C251" s="204"/>
      <c r="D251" s="204"/>
      <c r="E251" s="204">
        <v>7.1000000000000004E-3</v>
      </c>
      <c r="F251" s="204">
        <v>3.5999999999999999E-3</v>
      </c>
      <c r="G251" s="204"/>
      <c r="H251" s="204"/>
      <c r="I251" s="204"/>
      <c r="J251" s="204"/>
      <c r="K251" s="204"/>
      <c r="L251" s="204"/>
      <c r="M251" s="204"/>
      <c r="N251" s="204"/>
    </row>
    <row r="252" spans="1:14" x14ac:dyDescent="0.2">
      <c r="A252" t="s">
        <v>136</v>
      </c>
      <c r="B252" t="s">
        <v>137</v>
      </c>
      <c r="C252" s="204"/>
      <c r="D252" s="204"/>
      <c r="E252" s="204">
        <v>4.4999999999999997E-3</v>
      </c>
      <c r="F252" s="204">
        <v>3.8E-3</v>
      </c>
      <c r="G252" s="204"/>
      <c r="H252" s="204"/>
      <c r="I252" s="204"/>
      <c r="J252" s="204"/>
      <c r="K252" s="204"/>
      <c r="L252" s="204"/>
      <c r="M252" s="204"/>
      <c r="N252" s="204"/>
    </row>
    <row r="253" spans="1:14" x14ac:dyDescent="0.2">
      <c r="A253" t="s">
        <v>138</v>
      </c>
      <c r="B253" t="s">
        <v>139</v>
      </c>
      <c r="C253" s="204"/>
      <c r="D253" s="204"/>
      <c r="E253" s="204">
        <v>1.5E-3</v>
      </c>
      <c r="F253" s="204">
        <v>2.0000000000000001E-4</v>
      </c>
      <c r="G253" s="204"/>
      <c r="H253" s="204"/>
      <c r="I253" s="204"/>
      <c r="J253" s="204"/>
      <c r="K253" s="204"/>
      <c r="L253" s="204"/>
      <c r="M253" s="204"/>
      <c r="N253" s="204"/>
    </row>
    <row r="254" spans="1:14" x14ac:dyDescent="0.2">
      <c r="A254" t="s">
        <v>140</v>
      </c>
      <c r="B254" t="s">
        <v>141</v>
      </c>
      <c r="C254" s="204"/>
      <c r="D254" s="204"/>
      <c r="E254" s="204">
        <v>3.5999999999999999E-3</v>
      </c>
      <c r="F254" s="204">
        <v>5.5999999999999999E-3</v>
      </c>
      <c r="G254" s="204"/>
      <c r="H254" s="204"/>
      <c r="I254" s="204"/>
      <c r="J254" s="204"/>
      <c r="K254" s="204"/>
      <c r="L254" s="204"/>
      <c r="M254" s="204"/>
      <c r="N254" s="204"/>
    </row>
    <row r="255" spans="1:14" x14ac:dyDescent="0.2">
      <c r="A255" t="s">
        <v>142</v>
      </c>
      <c r="B255" t="s">
        <v>143</v>
      </c>
      <c r="C255" s="204"/>
      <c r="D255" s="204"/>
      <c r="E255" s="204">
        <v>8.9999999999999998E-4</v>
      </c>
      <c r="F255" s="204">
        <v>1E-3</v>
      </c>
      <c r="G255" s="204"/>
      <c r="H255" s="204"/>
      <c r="I255" s="204"/>
      <c r="J255" s="204"/>
      <c r="K255" s="204"/>
      <c r="L255" s="204"/>
      <c r="M255" s="204"/>
      <c r="N255" s="204"/>
    </row>
    <row r="256" spans="1:14" x14ac:dyDescent="0.2">
      <c r="A256" t="s">
        <v>144</v>
      </c>
      <c r="B256" t="s">
        <v>145</v>
      </c>
      <c r="C256" s="204"/>
      <c r="D256" s="204"/>
      <c r="E256" s="204">
        <v>2.9999999999999997E-4</v>
      </c>
      <c r="F256" s="204">
        <v>1E-4</v>
      </c>
      <c r="G256" s="204"/>
      <c r="H256" s="204"/>
      <c r="I256" s="204"/>
      <c r="J256" s="204"/>
      <c r="K256" s="204"/>
      <c r="L256" s="204"/>
      <c r="M256" s="204"/>
      <c r="N256" s="204"/>
    </row>
    <row r="257" spans="1:14" x14ac:dyDescent="0.2">
      <c r="A257" t="s">
        <v>146</v>
      </c>
      <c r="B257" t="s">
        <v>147</v>
      </c>
      <c r="C257" s="204"/>
      <c r="D257" s="204"/>
      <c r="E257" s="204">
        <v>1E-4</v>
      </c>
      <c r="F257" s="204">
        <v>2.9999999999999997E-4</v>
      </c>
      <c r="G257" s="204"/>
      <c r="H257" s="204"/>
      <c r="I257" s="204"/>
      <c r="J257" s="204"/>
      <c r="K257" s="204"/>
      <c r="L257" s="204"/>
      <c r="M257" s="204"/>
      <c r="N257" s="204"/>
    </row>
    <row r="258" spans="1:14" x14ac:dyDescent="0.2">
      <c r="A258" t="s">
        <v>148</v>
      </c>
      <c r="B258" t="s">
        <v>149</v>
      </c>
      <c r="C258" s="204"/>
      <c r="D258" s="204"/>
      <c r="E258" s="204">
        <v>5.9999999999999995E-4</v>
      </c>
      <c r="F258" s="204">
        <v>5.0000000000000001E-4</v>
      </c>
      <c r="G258" s="204"/>
      <c r="H258" s="204"/>
      <c r="I258" s="204"/>
      <c r="J258" s="204"/>
      <c r="K258" s="204"/>
      <c r="L258" s="204"/>
      <c r="M258" s="204"/>
      <c r="N258" s="204"/>
    </row>
    <row r="259" spans="1:14" x14ac:dyDescent="0.2">
      <c r="A259" t="s">
        <v>150</v>
      </c>
      <c r="B259" t="s">
        <v>151</v>
      </c>
      <c r="C259" s="204"/>
      <c r="D259" s="204"/>
      <c r="E259" s="204">
        <v>8.0000000000000004E-4</v>
      </c>
      <c r="F259" s="204">
        <v>1E-3</v>
      </c>
      <c r="G259" s="204"/>
      <c r="H259" s="204"/>
      <c r="I259" s="204"/>
      <c r="J259" s="204"/>
      <c r="K259" s="204"/>
      <c r="L259" s="204"/>
      <c r="M259" s="204"/>
      <c r="N259" s="204"/>
    </row>
    <row r="260" spans="1:14" x14ac:dyDescent="0.2">
      <c r="A260" t="s">
        <v>152</v>
      </c>
      <c r="B260" t="s">
        <v>153</v>
      </c>
      <c r="C260" s="204"/>
      <c r="D260" s="204"/>
      <c r="E260" s="204">
        <v>2.3E-3</v>
      </c>
      <c r="F260" s="204">
        <v>2.2000000000000001E-3</v>
      </c>
      <c r="G260" s="204"/>
      <c r="H260" s="204"/>
      <c r="I260" s="204"/>
      <c r="J260" s="204"/>
      <c r="K260" s="204"/>
      <c r="L260" s="204"/>
      <c r="M260" s="204"/>
      <c r="N260" s="204"/>
    </row>
    <row r="261" spans="1:14" x14ac:dyDescent="0.2">
      <c r="A261" t="s">
        <v>154</v>
      </c>
      <c r="B261" t="s">
        <v>155</v>
      </c>
      <c r="C261" s="204"/>
      <c r="D261" s="204"/>
      <c r="E261" s="204">
        <v>1.1299999999999999E-2</v>
      </c>
      <c r="F261" s="204">
        <v>1.1900000000000001E-2</v>
      </c>
      <c r="G261" s="204"/>
      <c r="H261" s="204"/>
      <c r="I261" s="204"/>
      <c r="J261" s="204"/>
      <c r="K261" s="204"/>
      <c r="L261" s="204"/>
      <c r="M261" s="204"/>
      <c r="N261" s="204"/>
    </row>
    <row r="262" spans="1:14" x14ac:dyDescent="0.2">
      <c r="A262" t="s">
        <v>156</v>
      </c>
      <c r="B262" t="s">
        <v>157</v>
      </c>
      <c r="C262" s="204"/>
      <c r="D262" s="204"/>
      <c r="E262" s="204">
        <v>5.9999999999999995E-4</v>
      </c>
      <c r="F262" s="204">
        <v>1.1999999999999999E-3</v>
      </c>
      <c r="G262" s="204"/>
      <c r="H262" s="204"/>
      <c r="I262" s="204"/>
      <c r="J262" s="204"/>
      <c r="K262" s="204"/>
      <c r="L262" s="204"/>
      <c r="M262" s="204"/>
      <c r="N262" s="204"/>
    </row>
    <row r="263" spans="1:14" x14ac:dyDescent="0.2">
      <c r="A263" t="s">
        <v>158</v>
      </c>
      <c r="B263" t="s">
        <v>159</v>
      </c>
      <c r="C263" s="204"/>
      <c r="D263" s="204"/>
      <c r="E263" s="204">
        <v>2.5999999999999999E-3</v>
      </c>
      <c r="F263" s="204">
        <v>3.0000000000000001E-3</v>
      </c>
      <c r="G263" s="204"/>
      <c r="H263" s="204"/>
      <c r="I263" s="204"/>
      <c r="J263" s="204"/>
      <c r="K263" s="204"/>
      <c r="L263" s="204"/>
      <c r="M263" s="204"/>
      <c r="N263" s="204"/>
    </row>
    <row r="266" spans="1:14" x14ac:dyDescent="0.2">
      <c r="A266" t="s">
        <v>281</v>
      </c>
    </row>
    <row r="267" spans="1:14" ht="15" x14ac:dyDescent="0.25">
      <c r="A267" s="218" t="s">
        <v>280</v>
      </c>
      <c r="B267" s="219" t="s">
        <v>275</v>
      </c>
      <c r="C267" s="219" t="s">
        <v>236</v>
      </c>
      <c r="D267" s="224" t="s">
        <v>15</v>
      </c>
      <c r="E267" s="224" t="s">
        <v>234</v>
      </c>
      <c r="F267" s="224" t="s">
        <v>259</v>
      </c>
      <c r="G267" s="224" t="s">
        <v>260</v>
      </c>
      <c r="H267" s="224" t="s">
        <v>261</v>
      </c>
      <c r="I267" s="224" t="s">
        <v>262</v>
      </c>
      <c r="J267" s="219" t="s">
        <v>263</v>
      </c>
      <c r="K267" s="219" t="s">
        <v>264</v>
      </c>
      <c r="L267" s="219" t="s">
        <v>265</v>
      </c>
      <c r="M267" s="219" t="s">
        <v>266</v>
      </c>
      <c r="N267" s="220" t="s">
        <v>267</v>
      </c>
    </row>
    <row r="268" spans="1:14" x14ac:dyDescent="0.2">
      <c r="A268" t="s">
        <v>228</v>
      </c>
      <c r="C268" s="216"/>
      <c r="D268" s="225"/>
      <c r="E268" s="221">
        <v>7.4000000000000003E-3</v>
      </c>
      <c r="F268" s="226">
        <v>7.4999999999999997E-3</v>
      </c>
      <c r="G268" s="225"/>
      <c r="H268" s="225"/>
      <c r="I268" s="225"/>
      <c r="J268" s="216"/>
      <c r="K268" s="216"/>
      <c r="L268" s="216"/>
      <c r="M268" s="216"/>
      <c r="N268" s="217"/>
    </row>
    <row r="269" spans="1:14" x14ac:dyDescent="0.2">
      <c r="A269" t="s">
        <v>229</v>
      </c>
      <c r="D269" s="227"/>
      <c r="E269" s="221">
        <v>7.6E-3</v>
      </c>
      <c r="F269" s="226">
        <v>7.7000000000000002E-3</v>
      </c>
      <c r="G269" s="227"/>
      <c r="H269" s="227"/>
      <c r="I269" s="227"/>
    </row>
    <row r="270" spans="1:14" x14ac:dyDescent="0.2">
      <c r="A270" t="s">
        <v>278</v>
      </c>
      <c r="D270" s="227"/>
      <c r="E270" s="221">
        <v>3.8999999999999998E-3</v>
      </c>
      <c r="F270" s="226">
        <v>4.1000000000000003E-3</v>
      </c>
      <c r="G270" s="227"/>
      <c r="H270" s="227"/>
      <c r="I270" s="227"/>
    </row>
    <row r="271" spans="1:14" x14ac:dyDescent="0.2">
      <c r="A271" t="s">
        <v>282</v>
      </c>
      <c r="D271" s="227"/>
      <c r="E271" s="228">
        <v>1.47</v>
      </c>
      <c r="F271" s="228">
        <v>1.42</v>
      </c>
      <c r="G271" s="227"/>
      <c r="H271" s="227"/>
      <c r="I271" s="227"/>
    </row>
    <row r="272" spans="1:14" x14ac:dyDescent="0.2">
      <c r="A272" t="s">
        <v>231</v>
      </c>
      <c r="D272" s="227"/>
      <c r="E272" s="221">
        <v>1.8E-3</v>
      </c>
      <c r="F272" s="226">
        <v>1.8E-3</v>
      </c>
      <c r="G272" s="227"/>
      <c r="H272" s="227"/>
      <c r="I272" s="227"/>
    </row>
    <row r="273" spans="1:14" x14ac:dyDescent="0.2">
      <c r="A273" t="s">
        <v>232</v>
      </c>
      <c r="D273" s="227"/>
      <c r="E273" s="221">
        <v>2.9600000000000001E-2</v>
      </c>
      <c r="F273" s="226">
        <v>0.03</v>
      </c>
      <c r="G273" s="227"/>
      <c r="H273" s="227"/>
      <c r="I273" s="227"/>
    </row>
    <row r="274" spans="1:14" x14ac:dyDescent="0.2">
      <c r="A274" t="s">
        <v>7</v>
      </c>
      <c r="D274" s="227"/>
      <c r="E274" s="222"/>
      <c r="F274" s="222"/>
      <c r="G274" s="227"/>
      <c r="H274" s="227"/>
      <c r="I274" s="227"/>
    </row>
    <row r="275" spans="1:14" x14ac:dyDescent="0.2">
      <c r="A275" t="s">
        <v>8</v>
      </c>
      <c r="D275" s="227"/>
      <c r="E275" s="222"/>
      <c r="F275" s="222"/>
      <c r="G275" s="227"/>
      <c r="H275" s="227"/>
      <c r="I275" s="227"/>
    </row>
    <row r="276" spans="1:14" x14ac:dyDescent="0.2">
      <c r="A276" t="s">
        <v>9</v>
      </c>
      <c r="D276" s="227"/>
      <c r="E276" s="223">
        <v>5</v>
      </c>
      <c r="F276" s="229">
        <v>5</v>
      </c>
      <c r="G276" s="227"/>
      <c r="H276" s="227"/>
      <c r="I276" s="227"/>
    </row>
    <row r="277" spans="1:14" x14ac:dyDescent="0.2">
      <c r="A277" t="s">
        <v>10</v>
      </c>
      <c r="D277" s="227"/>
      <c r="E277" s="223">
        <v>2.5</v>
      </c>
      <c r="F277" s="229">
        <v>2.5</v>
      </c>
      <c r="G277" s="227"/>
      <c r="H277" s="227"/>
      <c r="I277" s="227"/>
    </row>
    <row r="278" spans="1:14" x14ac:dyDescent="0.2">
      <c r="A278" t="s">
        <v>11</v>
      </c>
      <c r="D278" s="227"/>
      <c r="E278" s="223">
        <v>1.66</v>
      </c>
      <c r="F278" s="229">
        <v>1.66</v>
      </c>
      <c r="G278" s="227"/>
      <c r="H278" s="227"/>
      <c r="I278" s="227"/>
    </row>
    <row r="279" spans="1:14" x14ac:dyDescent="0.2">
      <c r="A279" t="s">
        <v>12</v>
      </c>
      <c r="D279" s="227"/>
      <c r="E279" s="223">
        <v>1.25</v>
      </c>
      <c r="F279" s="229">
        <v>1.25</v>
      </c>
      <c r="G279" s="227"/>
      <c r="H279" s="227"/>
      <c r="I279" s="227"/>
    </row>
    <row r="282" spans="1:14" x14ac:dyDescent="0.2">
      <c r="A282" t="s">
        <v>284</v>
      </c>
    </row>
    <row r="283" spans="1:14" ht="15" x14ac:dyDescent="0.25">
      <c r="A283" s="224" t="s">
        <v>280</v>
      </c>
      <c r="B283" s="224" t="s">
        <v>275</v>
      </c>
      <c r="C283" s="224" t="s">
        <v>236</v>
      </c>
      <c r="D283" s="224" t="s">
        <v>15</v>
      </c>
      <c r="E283" s="224" t="s">
        <v>234</v>
      </c>
      <c r="F283" s="224" t="s">
        <v>259</v>
      </c>
      <c r="G283" s="224" t="s">
        <v>260</v>
      </c>
      <c r="H283" s="224" t="s">
        <v>261</v>
      </c>
      <c r="I283" s="224" t="s">
        <v>262</v>
      </c>
      <c r="J283" s="224" t="s">
        <v>263</v>
      </c>
      <c r="K283" s="224" t="s">
        <v>264</v>
      </c>
      <c r="L283" s="224" t="s">
        <v>265</v>
      </c>
      <c r="M283" s="224" t="s">
        <v>266</v>
      </c>
      <c r="N283" s="224" t="s">
        <v>267</v>
      </c>
    </row>
    <row r="284" spans="1:14" x14ac:dyDescent="0.2">
      <c r="A284" s="230" t="s">
        <v>228</v>
      </c>
      <c r="B284" s="230"/>
      <c r="C284" s="231"/>
      <c r="D284" s="232">
        <v>3.5999999999999999E-3</v>
      </c>
      <c r="E284" s="232">
        <v>3.5000000000000001E-3</v>
      </c>
      <c r="F284" s="232">
        <v>4.1000000000000003E-3</v>
      </c>
      <c r="G284" s="231"/>
      <c r="H284" s="231"/>
      <c r="I284" s="231"/>
      <c r="J284" s="231"/>
      <c r="K284" s="231"/>
      <c r="L284" s="231"/>
      <c r="M284" s="231"/>
      <c r="N284" s="231"/>
    </row>
    <row r="285" spans="1:14" x14ac:dyDescent="0.2">
      <c r="A285" s="233" t="s">
        <v>229</v>
      </c>
      <c r="B285" s="233"/>
      <c r="C285" s="233"/>
      <c r="D285" s="234">
        <v>3.8999999999999998E-3</v>
      </c>
      <c r="E285" s="234">
        <v>4.0000000000000001E-3</v>
      </c>
      <c r="F285" s="234">
        <v>4.4999999999999997E-3</v>
      </c>
      <c r="G285" s="233"/>
      <c r="H285" s="233"/>
      <c r="I285" s="233"/>
      <c r="J285" s="233"/>
      <c r="K285" s="233"/>
      <c r="L285" s="233"/>
      <c r="M285" s="233"/>
      <c r="N285" s="233"/>
    </row>
    <row r="286" spans="1:14" x14ac:dyDescent="0.2">
      <c r="A286" s="230" t="s">
        <v>279</v>
      </c>
      <c r="B286" s="230"/>
      <c r="C286" s="230"/>
      <c r="D286" s="232">
        <v>2.3E-3</v>
      </c>
      <c r="E286" s="232">
        <v>2.2000000000000001E-3</v>
      </c>
      <c r="F286" s="232">
        <v>2.3999999999999998E-3</v>
      </c>
      <c r="G286" s="230"/>
      <c r="H286" s="230"/>
      <c r="I286" s="230"/>
      <c r="J286" s="230"/>
      <c r="K286" s="230"/>
      <c r="L286" s="230"/>
      <c r="M286" s="230"/>
      <c r="N286" s="230"/>
    </row>
    <row r="287" spans="1:14" x14ac:dyDescent="0.2">
      <c r="A287" s="233" t="s">
        <v>283</v>
      </c>
      <c r="B287" s="233"/>
      <c r="C287" s="233"/>
      <c r="D287" s="235">
        <v>1.3</v>
      </c>
      <c r="E287" s="235">
        <v>1.42</v>
      </c>
      <c r="F287" s="235">
        <v>1.45</v>
      </c>
      <c r="G287" s="233"/>
      <c r="H287" s="233"/>
      <c r="I287" s="233"/>
      <c r="J287" s="233"/>
      <c r="K287" s="233"/>
      <c r="L287" s="233"/>
      <c r="M287" s="233"/>
      <c r="N287" s="233"/>
    </row>
    <row r="288" spans="1:14" x14ac:dyDescent="0.2">
      <c r="A288" s="230" t="s">
        <v>231</v>
      </c>
      <c r="B288" s="230"/>
      <c r="C288" s="230"/>
      <c r="D288" s="232">
        <v>8.9999999999999998E-4</v>
      </c>
      <c r="E288" s="232">
        <v>8.0000000000000004E-4</v>
      </c>
      <c r="F288" s="232">
        <v>1E-3</v>
      </c>
      <c r="G288" s="230"/>
      <c r="H288" s="230"/>
      <c r="I288" s="230"/>
      <c r="J288" s="230"/>
      <c r="K288" s="230"/>
      <c r="L288" s="230"/>
      <c r="M288" s="230"/>
      <c r="N288" s="230"/>
    </row>
    <row r="289" spans="1:14" x14ac:dyDescent="0.2">
      <c r="A289" s="233" t="s">
        <v>232</v>
      </c>
      <c r="B289" s="233"/>
      <c r="C289" s="233"/>
      <c r="D289" s="234">
        <v>1.44E-2</v>
      </c>
      <c r="E289" s="234">
        <v>1.4E-2</v>
      </c>
      <c r="F289" s="234">
        <v>1.6400000000000001E-2</v>
      </c>
      <c r="G289" s="233"/>
      <c r="H289" s="233"/>
      <c r="I289" s="233"/>
      <c r="J289" s="233"/>
      <c r="K289" s="233"/>
      <c r="L289" s="233"/>
      <c r="M289" s="233"/>
      <c r="N289" s="233"/>
    </row>
    <row r="290" spans="1:14" x14ac:dyDescent="0.2">
      <c r="A290" s="230" t="s">
        <v>233</v>
      </c>
      <c r="B290" s="230"/>
      <c r="C290" s="230"/>
      <c r="D290" s="232">
        <v>7.0999999999999994E-2</v>
      </c>
      <c r="E290" s="232">
        <v>6.8900000000000003E-2</v>
      </c>
      <c r="F290" s="232">
        <v>8.0299999999999996E-2</v>
      </c>
      <c r="G290" s="230"/>
      <c r="H290" s="230"/>
      <c r="I290" s="230"/>
      <c r="J290" s="230"/>
      <c r="K290" s="230"/>
      <c r="L290" s="230"/>
      <c r="M290" s="230"/>
      <c r="N290" s="230"/>
    </row>
    <row r="291" spans="1:14" x14ac:dyDescent="0.2">
      <c r="A291" s="233" t="s">
        <v>7</v>
      </c>
      <c r="B291" s="233"/>
      <c r="C291" s="233"/>
      <c r="D291" s="236"/>
      <c r="E291" s="236"/>
      <c r="F291" s="236"/>
      <c r="G291" s="233"/>
      <c r="H291" s="233"/>
      <c r="I291" s="233"/>
      <c r="J291" s="233"/>
      <c r="K291" s="233"/>
      <c r="L291" s="233"/>
      <c r="M291" s="233"/>
      <c r="N291" s="233"/>
    </row>
    <row r="292" spans="1:14" x14ac:dyDescent="0.2">
      <c r="A292" s="230" t="s">
        <v>8</v>
      </c>
      <c r="B292" s="230"/>
      <c r="C292" s="230"/>
      <c r="D292" s="237"/>
      <c r="E292" s="237"/>
      <c r="F292" s="237"/>
      <c r="G292" s="230"/>
      <c r="H292" s="230"/>
      <c r="I292" s="230"/>
      <c r="J292" s="230"/>
      <c r="K292" s="230"/>
      <c r="L292" s="230"/>
      <c r="M292" s="230"/>
      <c r="N292" s="230"/>
    </row>
    <row r="293" spans="1:14" x14ac:dyDescent="0.2">
      <c r="A293" s="233" t="s">
        <v>9</v>
      </c>
      <c r="B293" s="233"/>
      <c r="C293" s="233"/>
      <c r="D293" s="238">
        <v>2</v>
      </c>
      <c r="E293" s="238">
        <v>2</v>
      </c>
      <c r="F293" s="238">
        <v>2</v>
      </c>
      <c r="G293" s="233"/>
      <c r="H293" s="233"/>
      <c r="I293" s="233"/>
      <c r="J293" s="233"/>
      <c r="K293" s="233"/>
      <c r="L293" s="233"/>
      <c r="M293" s="233"/>
      <c r="N293" s="233"/>
    </row>
    <row r="294" spans="1:14" x14ac:dyDescent="0.2">
      <c r="A294" s="230" t="s">
        <v>10</v>
      </c>
      <c r="B294" s="230"/>
      <c r="C294" s="230"/>
      <c r="D294" s="237">
        <v>1</v>
      </c>
      <c r="E294" s="237">
        <v>1</v>
      </c>
      <c r="F294" s="237">
        <v>1</v>
      </c>
      <c r="G294" s="230"/>
      <c r="H294" s="230"/>
      <c r="I294" s="230"/>
      <c r="J294" s="230"/>
      <c r="K294" s="230"/>
      <c r="L294" s="230"/>
      <c r="M294" s="230"/>
      <c r="N294" s="230"/>
    </row>
    <row r="295" spans="1:14" x14ac:dyDescent="0.2">
      <c r="A295" s="233" t="s">
        <v>11</v>
      </c>
      <c r="B295" s="233"/>
      <c r="C295" s="233"/>
      <c r="D295" s="238">
        <v>1</v>
      </c>
      <c r="E295" s="238">
        <v>1</v>
      </c>
      <c r="F295" s="238">
        <v>1</v>
      </c>
      <c r="G295" s="233"/>
      <c r="H295" s="233"/>
      <c r="I295" s="233"/>
      <c r="J295" s="233"/>
      <c r="K295" s="233"/>
      <c r="L295" s="233"/>
      <c r="M295" s="233"/>
      <c r="N295" s="233"/>
    </row>
    <row r="296" spans="1:14" x14ac:dyDescent="0.2">
      <c r="A296" s="230" t="s">
        <v>12</v>
      </c>
      <c r="B296" s="230"/>
      <c r="C296" s="230"/>
      <c r="D296" s="237">
        <v>1</v>
      </c>
      <c r="E296" s="237">
        <v>1</v>
      </c>
      <c r="F296" s="237">
        <v>1</v>
      </c>
      <c r="G296" s="230"/>
      <c r="H296" s="230"/>
      <c r="I296" s="230"/>
      <c r="J296" s="230"/>
      <c r="K296" s="230"/>
      <c r="L296" s="230"/>
      <c r="M296" s="230"/>
      <c r="N296" s="230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6"/>
  <sheetViews>
    <sheetView tabSelected="1" topLeftCell="A58" zoomScaleNormal="100" workbookViewId="0">
      <selection activeCell="D78" sqref="D78"/>
    </sheetView>
  </sheetViews>
  <sheetFormatPr defaultColWidth="9" defaultRowHeight="14.25" x14ac:dyDescent="0.2"/>
  <cols>
    <col min="1" max="1" width="2.5" style="3" customWidth="1"/>
    <col min="2" max="2" width="12.375" style="86" customWidth="1"/>
    <col min="3" max="3" width="39.875" style="86" customWidth="1"/>
    <col min="4" max="4" width="11.25" style="87" customWidth="1"/>
    <col min="5" max="5" width="11.25" style="3" customWidth="1"/>
    <col min="6" max="6" width="11.25" style="91" customWidth="1"/>
    <col min="7" max="8" width="9.375" style="3" customWidth="1"/>
    <col min="9" max="9" width="8.75" style="3" customWidth="1"/>
    <col min="10" max="16384" width="9" style="3"/>
  </cols>
  <sheetData>
    <row r="1" spans="1:7" ht="36" customHeight="1" x14ac:dyDescent="0.25">
      <c r="F1" s="3"/>
    </row>
    <row r="2" spans="1:7" ht="27.95" customHeight="1" x14ac:dyDescent="0.2">
      <c r="B2" s="295" t="s">
        <v>0</v>
      </c>
      <c r="C2" s="295"/>
      <c r="D2" s="295"/>
      <c r="E2" s="295"/>
      <c r="F2" s="295"/>
      <c r="G2" s="88"/>
    </row>
    <row r="3" spans="1:7" ht="13.9" x14ac:dyDescent="0.25">
      <c r="B3" s="89"/>
      <c r="C3" s="89"/>
      <c r="D3" s="90"/>
      <c r="E3" s="5"/>
    </row>
    <row r="4" spans="1:7" s="93" customFormat="1" ht="18" customHeight="1" x14ac:dyDescent="0.2">
      <c r="A4" s="92"/>
      <c r="B4" s="287" t="s">
        <v>185</v>
      </c>
      <c r="C4" s="267"/>
      <c r="D4" s="267"/>
      <c r="E4" s="267"/>
      <c r="F4" s="268"/>
    </row>
    <row r="5" spans="1:7" ht="15" x14ac:dyDescent="0.2">
      <c r="A5" s="8"/>
      <c r="B5" s="94"/>
      <c r="C5" s="94"/>
      <c r="D5" s="94"/>
      <c r="E5" s="94"/>
      <c r="F5" s="95"/>
    </row>
    <row r="6" spans="1:7" ht="15" x14ac:dyDescent="0.25">
      <c r="A6" s="8"/>
      <c r="B6" s="96"/>
      <c r="C6" s="96"/>
      <c r="D6" s="97">
        <f>+E6-1</f>
        <v>2016</v>
      </c>
      <c r="E6" s="97">
        <f>+F6-1</f>
        <v>2017</v>
      </c>
      <c r="F6" s="214">
        <f>Hulpsheet!$B$2</f>
        <v>2018</v>
      </c>
    </row>
    <row r="7" spans="1:7" x14ac:dyDescent="0.2">
      <c r="A7" s="8"/>
      <c r="B7" s="302" t="s">
        <v>1</v>
      </c>
      <c r="C7" s="302"/>
      <c r="D7" s="98">
        <f>VLOOKUP($D$6,Grens_klein_middel_groot[],2,FALSE)</f>
        <v>31900</v>
      </c>
      <c r="E7" s="98">
        <f>VLOOKUP($E$6,Grens_klein_middel_groot[],2,FALSE)</f>
        <v>32200</v>
      </c>
      <c r="F7" s="210">
        <f>VLOOKUP($F$6,Grens_klein_middel_groot[],2,FALSE)</f>
        <v>32800</v>
      </c>
    </row>
    <row r="8" spans="1:7" x14ac:dyDescent="0.2">
      <c r="A8" s="8"/>
      <c r="B8" s="302" t="s">
        <v>2</v>
      </c>
      <c r="C8" s="302"/>
      <c r="D8" s="100"/>
      <c r="E8" s="100"/>
      <c r="F8" s="211"/>
    </row>
    <row r="9" spans="1:7" x14ac:dyDescent="0.2">
      <c r="A9" s="8"/>
      <c r="B9" s="302" t="s">
        <v>3</v>
      </c>
      <c r="C9" s="302"/>
      <c r="D9" s="98">
        <f>VLOOKUP($D$6,Grens_klein_middel_groot[],4,FALSE)</f>
        <v>3190000</v>
      </c>
      <c r="E9" s="98">
        <f>VLOOKUP($E$6,Grens_klein_middel_groot[],4,FALSE)</f>
        <v>3220000</v>
      </c>
      <c r="F9" s="211">
        <f>VLOOKUP($F$6,Grens_klein_middel_groot[],4,FALSE)</f>
        <v>3280000</v>
      </c>
    </row>
    <row r="10" spans="1:7" x14ac:dyDescent="0.2">
      <c r="A10" s="8"/>
      <c r="B10" s="302" t="s">
        <v>4</v>
      </c>
      <c r="C10" s="302"/>
      <c r="D10" s="98">
        <f>VLOOKUP($D$6,Grens_klein_middel_groot[],3,FALSE)</f>
        <v>319000</v>
      </c>
      <c r="E10" s="98">
        <f>VLOOKUP($E$6,Grens_klein_middel_groot[],3,FALSE)</f>
        <v>322000</v>
      </c>
      <c r="F10" s="211">
        <f>VLOOKUP($F$6,Grens_klein_middel_groot[],3,FALSE)</f>
        <v>328000</v>
      </c>
    </row>
    <row r="11" spans="1:7" x14ac:dyDescent="0.2">
      <c r="A11" s="8"/>
      <c r="B11" s="18"/>
      <c r="C11" s="18"/>
      <c r="D11" s="22"/>
      <c r="E11" s="168"/>
      <c r="F11" s="110"/>
    </row>
    <row r="12" spans="1:7" ht="18" customHeight="1" x14ac:dyDescent="0.3">
      <c r="A12" s="8"/>
      <c r="B12" s="297" t="s">
        <v>237</v>
      </c>
      <c r="C12" s="298"/>
      <c r="D12" s="298"/>
      <c r="E12" s="298"/>
      <c r="F12" s="299"/>
    </row>
    <row r="13" spans="1:7" ht="14.25" customHeight="1" x14ac:dyDescent="0.2">
      <c r="A13" s="8"/>
      <c r="B13" s="300" t="s">
        <v>228</v>
      </c>
      <c r="C13" s="301"/>
      <c r="D13" s="74"/>
      <c r="E13" s="169">
        <v>7.4000000000000003E-3</v>
      </c>
      <c r="F13" s="215">
        <v>7.4999999999999997E-3</v>
      </c>
    </row>
    <row r="14" spans="1:7" ht="14.25" customHeight="1" x14ac:dyDescent="0.2">
      <c r="A14" s="8"/>
      <c r="B14" s="293" t="s">
        <v>229</v>
      </c>
      <c r="C14" s="294"/>
      <c r="D14" s="102"/>
      <c r="E14" s="170">
        <v>7.6E-3</v>
      </c>
      <c r="F14" s="215">
        <v>7.7000000000000002E-3</v>
      </c>
    </row>
    <row r="15" spans="1:7" ht="14.25" customHeight="1" x14ac:dyDescent="0.2">
      <c r="A15" s="8"/>
      <c r="B15" s="293" t="s">
        <v>230</v>
      </c>
      <c r="C15" s="294"/>
      <c r="D15" s="104"/>
      <c r="E15" s="170">
        <v>3.8999999999999998E-3</v>
      </c>
      <c r="F15" s="215">
        <v>4.1000000000000003E-3</v>
      </c>
    </row>
    <row r="16" spans="1:7" ht="14.25" customHeight="1" x14ac:dyDescent="0.2">
      <c r="A16" s="8"/>
      <c r="B16" s="294" t="s">
        <v>6</v>
      </c>
      <c r="C16" s="294"/>
      <c r="D16" s="105"/>
      <c r="E16" s="171">
        <v>1.47</v>
      </c>
      <c r="F16" s="207">
        <v>1.42</v>
      </c>
    </row>
    <row r="17" spans="1:6" ht="14.25" customHeight="1" x14ac:dyDescent="0.2">
      <c r="A17" s="8"/>
      <c r="B17" s="293" t="s">
        <v>231</v>
      </c>
      <c r="C17" s="294"/>
      <c r="D17" s="107"/>
      <c r="E17" s="172">
        <v>1.8E-3</v>
      </c>
      <c r="F17" s="215">
        <v>1.8E-3</v>
      </c>
    </row>
    <row r="18" spans="1:6" ht="14.25" customHeight="1" x14ac:dyDescent="0.2">
      <c r="A18" s="8"/>
      <c r="B18" s="293" t="s">
        <v>232</v>
      </c>
      <c r="C18" s="294"/>
      <c r="D18" s="74"/>
      <c r="E18" s="170">
        <v>2.9600000000000001E-2</v>
      </c>
      <c r="F18" s="215">
        <v>0.03</v>
      </c>
    </row>
    <row r="19" spans="1:6" ht="14.25" customHeight="1" x14ac:dyDescent="0.2">
      <c r="A19" s="8"/>
      <c r="B19" s="294" t="s">
        <v>7</v>
      </c>
      <c r="C19" s="294"/>
      <c r="D19" s="109"/>
      <c r="E19" s="130"/>
      <c r="F19" s="110"/>
    </row>
    <row r="20" spans="1:6" x14ac:dyDescent="0.2">
      <c r="A20" s="8"/>
      <c r="B20" s="294" t="s">
        <v>8</v>
      </c>
      <c r="C20" s="294"/>
      <c r="D20" s="9"/>
      <c r="E20" s="173"/>
      <c r="F20" s="110"/>
    </row>
    <row r="21" spans="1:6" x14ac:dyDescent="0.2">
      <c r="A21" s="8"/>
      <c r="B21" s="292" t="s">
        <v>9</v>
      </c>
      <c r="C21" s="292"/>
      <c r="D21" s="111"/>
      <c r="E21" s="174">
        <v>5</v>
      </c>
      <c r="F21" s="209">
        <v>5</v>
      </c>
    </row>
    <row r="22" spans="1:6" x14ac:dyDescent="0.2">
      <c r="A22" s="8"/>
      <c r="B22" s="292" t="s">
        <v>10</v>
      </c>
      <c r="C22" s="292"/>
      <c r="D22" s="105"/>
      <c r="E22" s="174">
        <v>2.5</v>
      </c>
      <c r="F22" s="209">
        <v>2.5</v>
      </c>
    </row>
    <row r="23" spans="1:6" x14ac:dyDescent="0.2">
      <c r="A23" s="8"/>
      <c r="B23" s="292" t="s">
        <v>11</v>
      </c>
      <c r="C23" s="292"/>
      <c r="D23" s="105"/>
      <c r="E23" s="174">
        <v>1.66</v>
      </c>
      <c r="F23" s="209">
        <v>1.66</v>
      </c>
    </row>
    <row r="24" spans="1:6" x14ac:dyDescent="0.2">
      <c r="A24" s="8"/>
      <c r="B24" s="292" t="s">
        <v>12</v>
      </c>
      <c r="C24" s="292"/>
      <c r="D24" s="105"/>
      <c r="E24" s="175">
        <v>1.25</v>
      </c>
      <c r="F24" s="209">
        <v>1.25</v>
      </c>
    </row>
    <row r="25" spans="1:6" x14ac:dyDescent="0.2">
      <c r="A25" s="8"/>
      <c r="B25" s="114"/>
      <c r="C25" s="114"/>
      <c r="D25" s="9"/>
      <c r="E25" s="173"/>
      <c r="F25" s="110"/>
    </row>
    <row r="26" spans="1:6" ht="18" customHeight="1" x14ac:dyDescent="0.3">
      <c r="A26" s="8"/>
      <c r="B26" s="297" t="s">
        <v>5</v>
      </c>
      <c r="C26" s="298"/>
      <c r="D26" s="298"/>
      <c r="E26" s="298"/>
      <c r="F26" s="299"/>
    </row>
    <row r="27" spans="1:6" ht="14.25" customHeight="1" x14ac:dyDescent="0.2">
      <c r="A27" s="8"/>
      <c r="B27" s="300" t="s">
        <v>228</v>
      </c>
      <c r="C27" s="301"/>
      <c r="D27" s="169">
        <v>4.7000000000000002E-3</v>
      </c>
      <c r="E27" s="169"/>
      <c r="F27" s="206"/>
    </row>
    <row r="28" spans="1:6" ht="14.25" customHeight="1" x14ac:dyDescent="0.2">
      <c r="A28" s="8"/>
      <c r="B28" s="293" t="s">
        <v>229</v>
      </c>
      <c r="C28" s="294"/>
      <c r="D28" s="170">
        <v>4.7999999999999996E-3</v>
      </c>
      <c r="E28" s="170"/>
      <c r="F28" s="206"/>
    </row>
    <row r="29" spans="1:6" ht="14.25" customHeight="1" x14ac:dyDescent="0.2">
      <c r="A29" s="8"/>
      <c r="B29" s="293" t="s">
        <v>230</v>
      </c>
      <c r="C29" s="294"/>
      <c r="D29" s="170">
        <v>2.7000000000000001E-3</v>
      </c>
      <c r="E29" s="170"/>
      <c r="F29" s="206"/>
    </row>
    <row r="30" spans="1:6" ht="14.25" customHeight="1" x14ac:dyDescent="0.2">
      <c r="A30" s="8"/>
      <c r="B30" s="294" t="s">
        <v>6</v>
      </c>
      <c r="C30" s="294"/>
      <c r="D30" s="171">
        <v>1.34</v>
      </c>
      <c r="E30" s="171"/>
      <c r="F30" s="207"/>
    </row>
    <row r="31" spans="1:6" ht="14.25" customHeight="1" x14ac:dyDescent="0.2">
      <c r="A31" s="8"/>
      <c r="B31" s="293" t="s">
        <v>231</v>
      </c>
      <c r="C31" s="294"/>
      <c r="D31" s="172">
        <v>1.1000000000000001E-3</v>
      </c>
      <c r="E31" s="172"/>
      <c r="F31" s="208"/>
    </row>
    <row r="32" spans="1:6" ht="14.25" customHeight="1" x14ac:dyDescent="0.2">
      <c r="A32" s="8"/>
      <c r="B32" s="293" t="s">
        <v>232</v>
      </c>
      <c r="C32" s="294"/>
      <c r="D32" s="170">
        <v>1.8800000000000001E-2</v>
      </c>
      <c r="E32" s="170"/>
      <c r="F32" s="208"/>
    </row>
    <row r="33" spans="1:6" ht="14.25" customHeight="1" x14ac:dyDescent="0.2">
      <c r="A33" s="8"/>
      <c r="B33" s="294" t="s">
        <v>7</v>
      </c>
      <c r="C33" s="294"/>
      <c r="D33" s="130"/>
      <c r="E33" s="130"/>
      <c r="F33" s="110"/>
    </row>
    <row r="34" spans="1:6" x14ac:dyDescent="0.2">
      <c r="A34" s="8"/>
      <c r="B34" s="294" t="s">
        <v>8</v>
      </c>
      <c r="C34" s="294"/>
      <c r="D34" s="173"/>
      <c r="E34" s="173"/>
      <c r="F34" s="110"/>
    </row>
    <row r="35" spans="1:6" x14ac:dyDescent="0.2">
      <c r="A35" s="8"/>
      <c r="B35" s="292" t="s">
        <v>9</v>
      </c>
      <c r="C35" s="292"/>
      <c r="D35" s="174">
        <v>5</v>
      </c>
      <c r="E35" s="174"/>
      <c r="F35" s="209"/>
    </row>
    <row r="36" spans="1:6" x14ac:dyDescent="0.2">
      <c r="A36" s="8"/>
      <c r="B36" s="292" t="s">
        <v>10</v>
      </c>
      <c r="C36" s="292"/>
      <c r="D36" s="174">
        <v>2.5</v>
      </c>
      <c r="E36" s="174"/>
      <c r="F36" s="209"/>
    </row>
    <row r="37" spans="1:6" x14ac:dyDescent="0.2">
      <c r="A37" s="8"/>
      <c r="B37" s="292" t="s">
        <v>11</v>
      </c>
      <c r="C37" s="292"/>
      <c r="D37" s="174">
        <v>1.66</v>
      </c>
      <c r="E37" s="174"/>
      <c r="F37" s="209"/>
    </row>
    <row r="38" spans="1:6" x14ac:dyDescent="0.2">
      <c r="A38" s="8"/>
      <c r="B38" s="292" t="s">
        <v>12</v>
      </c>
      <c r="C38" s="292"/>
      <c r="D38" s="175">
        <v>1.25</v>
      </c>
      <c r="E38" s="175"/>
      <c r="F38" s="209"/>
    </row>
    <row r="39" spans="1:6" x14ac:dyDescent="0.2">
      <c r="A39" s="8"/>
      <c r="B39" s="114"/>
      <c r="C39" s="114"/>
      <c r="D39" s="173"/>
      <c r="E39" s="173"/>
      <c r="F39" s="110"/>
    </row>
    <row r="40" spans="1:6" ht="18" customHeight="1" x14ac:dyDescent="0.3">
      <c r="A40" s="8"/>
      <c r="B40" s="297" t="s">
        <v>13</v>
      </c>
      <c r="C40" s="298"/>
      <c r="D40" s="298"/>
      <c r="E40" s="298"/>
      <c r="F40" s="299"/>
    </row>
    <row r="41" spans="1:6" ht="14.25" customHeight="1" x14ac:dyDescent="0.2">
      <c r="A41" s="8"/>
      <c r="B41" s="300" t="s">
        <v>228</v>
      </c>
      <c r="C41" s="301"/>
      <c r="D41" s="169">
        <v>2.3999999999999998E-3</v>
      </c>
      <c r="E41" s="169"/>
      <c r="F41" s="206"/>
    </row>
    <row r="42" spans="1:6" ht="14.25" customHeight="1" x14ac:dyDescent="0.2">
      <c r="A42" s="8"/>
      <c r="B42" s="293" t="s">
        <v>229</v>
      </c>
      <c r="C42" s="294"/>
      <c r="D42" s="172">
        <v>2.5000000000000001E-3</v>
      </c>
      <c r="E42" s="170"/>
      <c r="F42" s="206"/>
    </row>
    <row r="43" spans="1:6" ht="14.25" customHeight="1" x14ac:dyDescent="0.2">
      <c r="A43" s="8"/>
      <c r="B43" s="293" t="s">
        <v>230</v>
      </c>
      <c r="C43" s="294"/>
      <c r="D43" s="176">
        <v>8.9999999999999998E-4</v>
      </c>
      <c r="E43" s="170"/>
      <c r="F43" s="206"/>
    </row>
    <row r="44" spans="1:6" ht="14.25" customHeight="1" x14ac:dyDescent="0.2">
      <c r="A44" s="8"/>
      <c r="B44" s="294" t="s">
        <v>6</v>
      </c>
      <c r="C44" s="294"/>
      <c r="D44" s="171">
        <v>2</v>
      </c>
      <c r="E44" s="171"/>
      <c r="F44" s="207"/>
    </row>
    <row r="45" spans="1:6" ht="14.25" customHeight="1" x14ac:dyDescent="0.2">
      <c r="A45" s="8"/>
      <c r="B45" s="293" t="s">
        <v>231</v>
      </c>
      <c r="C45" s="294"/>
      <c r="D45" s="172">
        <v>5.9999999999999995E-4</v>
      </c>
      <c r="E45" s="172"/>
      <c r="F45" s="208"/>
    </row>
    <row r="46" spans="1:6" ht="14.25" customHeight="1" x14ac:dyDescent="0.2">
      <c r="A46" s="8"/>
      <c r="B46" s="293" t="s">
        <v>232</v>
      </c>
      <c r="C46" s="294"/>
      <c r="D46" s="170">
        <v>9.5999999999999992E-3</v>
      </c>
      <c r="E46" s="170"/>
      <c r="F46" s="208"/>
    </row>
    <row r="47" spans="1:6" ht="14.25" customHeight="1" x14ac:dyDescent="0.2">
      <c r="A47" s="8"/>
      <c r="B47" s="293" t="s">
        <v>233</v>
      </c>
      <c r="C47" s="294"/>
      <c r="D47" s="170">
        <v>6.3200000000000006E-2</v>
      </c>
      <c r="E47" s="130"/>
      <c r="F47" s="110"/>
    </row>
    <row r="48" spans="1:6" ht="14.25" customHeight="1" x14ac:dyDescent="0.2">
      <c r="A48" s="8"/>
      <c r="B48" s="294" t="s">
        <v>7</v>
      </c>
      <c r="C48" s="294"/>
      <c r="D48" s="130"/>
      <c r="E48" s="173"/>
      <c r="F48" s="110"/>
    </row>
    <row r="49" spans="1:6" x14ac:dyDescent="0.2">
      <c r="A49" s="8"/>
      <c r="B49" s="294" t="s">
        <v>8</v>
      </c>
      <c r="C49" s="294"/>
      <c r="D49" s="177"/>
      <c r="E49" s="174"/>
      <c r="F49" s="209"/>
    </row>
    <row r="50" spans="1:6" x14ac:dyDescent="0.2">
      <c r="A50" s="8"/>
      <c r="B50" s="292" t="s">
        <v>9</v>
      </c>
      <c r="C50" s="292"/>
      <c r="D50" s="174">
        <v>3</v>
      </c>
      <c r="E50" s="174"/>
      <c r="F50" s="209"/>
    </row>
    <row r="51" spans="1:6" x14ac:dyDescent="0.2">
      <c r="A51" s="8"/>
      <c r="B51" s="292" t="s">
        <v>10</v>
      </c>
      <c r="C51" s="292"/>
      <c r="D51" s="175">
        <v>1.5</v>
      </c>
      <c r="E51" s="174"/>
      <c r="F51" s="209"/>
    </row>
    <row r="52" spans="1:6" x14ac:dyDescent="0.2">
      <c r="A52" s="8"/>
      <c r="B52" s="292" t="s">
        <v>11</v>
      </c>
      <c r="C52" s="292"/>
      <c r="D52" s="178">
        <v>1</v>
      </c>
      <c r="E52" s="174"/>
      <c r="F52" s="209"/>
    </row>
    <row r="53" spans="1:6" x14ac:dyDescent="0.2">
      <c r="A53" s="8"/>
      <c r="B53" s="292" t="s">
        <v>12</v>
      </c>
      <c r="C53" s="292"/>
      <c r="D53" s="174">
        <v>1</v>
      </c>
      <c r="E53" s="174"/>
      <c r="F53" s="209"/>
    </row>
    <row r="54" spans="1:6" x14ac:dyDescent="0.2">
      <c r="A54" s="8"/>
      <c r="B54" s="114"/>
      <c r="C54" s="114"/>
      <c r="D54" s="9"/>
      <c r="E54" s="175"/>
      <c r="F54" s="209"/>
    </row>
    <row r="55" spans="1:6" ht="18" customHeight="1" x14ac:dyDescent="0.3">
      <c r="A55" s="8"/>
      <c r="B55" s="297" t="s">
        <v>14</v>
      </c>
      <c r="C55" s="298"/>
      <c r="D55" s="298"/>
      <c r="E55" s="298"/>
      <c r="F55" s="299"/>
    </row>
    <row r="56" spans="1:6" ht="14.25" customHeight="1" x14ac:dyDescent="0.2">
      <c r="A56" s="8"/>
      <c r="B56" s="300" t="s">
        <v>228</v>
      </c>
      <c r="C56" s="301"/>
      <c r="D56" s="107">
        <v>3.5999999999999999E-3</v>
      </c>
      <c r="E56" s="172">
        <v>3.5000000000000001E-3</v>
      </c>
      <c r="F56" s="108">
        <v>4.1000000000000003E-3</v>
      </c>
    </row>
    <row r="57" spans="1:6" ht="14.25" customHeight="1" x14ac:dyDescent="0.2">
      <c r="A57" s="8"/>
      <c r="B57" s="293" t="s">
        <v>229</v>
      </c>
      <c r="C57" s="294"/>
      <c r="D57" s="104">
        <v>3.8999999999999998E-3</v>
      </c>
      <c r="E57" s="176">
        <v>4.0000000000000001E-3</v>
      </c>
      <c r="F57" s="115">
        <v>4.4999999999999997E-3</v>
      </c>
    </row>
    <row r="58" spans="1:6" ht="14.25" customHeight="1" x14ac:dyDescent="0.2">
      <c r="A58" s="8"/>
      <c r="B58" s="293" t="s">
        <v>230</v>
      </c>
      <c r="C58" s="294"/>
      <c r="D58" s="104">
        <v>2.3E-3</v>
      </c>
      <c r="E58" s="170">
        <v>2.2000000000000001E-3</v>
      </c>
      <c r="F58" s="103">
        <v>2.3999999999999998E-3</v>
      </c>
    </row>
    <row r="59" spans="1:6" ht="14.25" customHeight="1" x14ac:dyDescent="0.2">
      <c r="A59" s="8"/>
      <c r="B59" s="294" t="s">
        <v>6</v>
      </c>
      <c r="C59" s="294"/>
      <c r="D59" s="111">
        <v>1.3</v>
      </c>
      <c r="E59" s="171">
        <v>1.42</v>
      </c>
      <c r="F59" s="106">
        <v>1.45</v>
      </c>
    </row>
    <row r="60" spans="1:6" ht="14.25" customHeight="1" x14ac:dyDescent="0.2">
      <c r="A60" s="8"/>
      <c r="B60" s="293" t="s">
        <v>231</v>
      </c>
      <c r="C60" s="294"/>
      <c r="D60" s="104">
        <v>8.9999999999999998E-4</v>
      </c>
      <c r="E60" s="172">
        <v>8.0000000000000004E-4</v>
      </c>
      <c r="F60" s="108">
        <v>1E-3</v>
      </c>
    </row>
    <row r="61" spans="1:6" ht="14.25" customHeight="1" x14ac:dyDescent="0.2">
      <c r="A61" s="8"/>
      <c r="B61" s="293" t="s">
        <v>232</v>
      </c>
      <c r="C61" s="294"/>
      <c r="D61" s="104">
        <v>1.44E-2</v>
      </c>
      <c r="E61" s="170">
        <v>1.4E-2</v>
      </c>
      <c r="F61" s="103">
        <v>1.6400000000000001E-2</v>
      </c>
    </row>
    <row r="62" spans="1:6" ht="14.25" customHeight="1" x14ac:dyDescent="0.2">
      <c r="A62" s="8"/>
      <c r="B62" s="293" t="s">
        <v>233</v>
      </c>
      <c r="C62" s="294"/>
      <c r="D62" s="104">
        <v>7.0999999999999994E-2</v>
      </c>
      <c r="E62" s="170">
        <v>6.8900000000000003E-2</v>
      </c>
      <c r="F62" s="166">
        <v>8.0299999999999996E-2</v>
      </c>
    </row>
    <row r="63" spans="1:6" ht="14.25" customHeight="1" x14ac:dyDescent="0.2">
      <c r="A63" s="8"/>
      <c r="B63" s="294" t="s">
        <v>7</v>
      </c>
      <c r="C63" s="294"/>
      <c r="D63" s="109"/>
      <c r="E63" s="177"/>
      <c r="F63" s="99"/>
    </row>
    <row r="64" spans="1:6" x14ac:dyDescent="0.2">
      <c r="A64" s="8"/>
      <c r="B64" s="294" t="s">
        <v>8</v>
      </c>
      <c r="C64" s="294"/>
      <c r="D64" s="109"/>
      <c r="E64" s="130"/>
      <c r="F64" s="95"/>
    </row>
    <row r="65" spans="1:7" x14ac:dyDescent="0.2">
      <c r="A65" s="8"/>
      <c r="B65" s="292" t="s">
        <v>9</v>
      </c>
      <c r="C65" s="292"/>
      <c r="D65" s="111">
        <v>2</v>
      </c>
      <c r="E65" s="174">
        <v>2</v>
      </c>
      <c r="F65" s="112">
        <v>2</v>
      </c>
    </row>
    <row r="66" spans="1:7" x14ac:dyDescent="0.2">
      <c r="A66" s="8"/>
      <c r="B66" s="292" t="s">
        <v>10</v>
      </c>
      <c r="C66" s="292"/>
      <c r="D66" s="111">
        <v>1</v>
      </c>
      <c r="E66" s="175">
        <v>1</v>
      </c>
      <c r="F66" s="113">
        <v>1</v>
      </c>
    </row>
    <row r="67" spans="1:7" x14ac:dyDescent="0.2">
      <c r="A67" s="8"/>
      <c r="B67" s="292" t="s">
        <v>11</v>
      </c>
      <c r="C67" s="292"/>
      <c r="D67" s="111">
        <v>1</v>
      </c>
      <c r="E67" s="178">
        <v>1</v>
      </c>
      <c r="F67" s="116">
        <v>1</v>
      </c>
    </row>
    <row r="68" spans="1:7" x14ac:dyDescent="0.2">
      <c r="A68" s="8"/>
      <c r="B68" s="292" t="s">
        <v>12</v>
      </c>
      <c r="C68" s="292"/>
      <c r="D68" s="111">
        <v>1</v>
      </c>
      <c r="E68" s="174">
        <v>1</v>
      </c>
      <c r="F68" s="112">
        <v>1</v>
      </c>
    </row>
    <row r="69" spans="1:7" x14ac:dyDescent="0.2">
      <c r="A69" s="8"/>
      <c r="B69" s="117"/>
      <c r="C69" s="117"/>
      <c r="D69" s="118"/>
      <c r="E69" s="155"/>
      <c r="F69" s="119"/>
    </row>
    <row r="70" spans="1:7" collapsed="1" x14ac:dyDescent="0.2">
      <c r="B70" s="101"/>
      <c r="C70" s="101"/>
      <c r="D70" s="20"/>
      <c r="E70" s="9"/>
    </row>
    <row r="71" spans="1:7" s="93" customFormat="1" ht="18" customHeight="1" x14ac:dyDescent="0.2">
      <c r="A71" s="120"/>
      <c r="B71" s="287" t="s">
        <v>16</v>
      </c>
      <c r="C71" s="267"/>
      <c r="D71" s="267"/>
      <c r="E71" s="267"/>
      <c r="F71" s="268"/>
    </row>
    <row r="72" spans="1:7" ht="15" x14ac:dyDescent="0.2">
      <c r="B72" s="121"/>
      <c r="C72" s="94"/>
      <c r="D72" s="94"/>
      <c r="E72" s="94"/>
      <c r="F72" s="95"/>
    </row>
    <row r="73" spans="1:7" ht="15" x14ac:dyDescent="0.25">
      <c r="B73" s="122"/>
      <c r="C73" s="96"/>
      <c r="D73" s="213">
        <f>D6</f>
        <v>2016</v>
      </c>
      <c r="E73" s="213">
        <f>E6</f>
        <v>2017</v>
      </c>
      <c r="F73" s="212">
        <f>F6</f>
        <v>2018</v>
      </c>
    </row>
    <row r="74" spans="1:7" ht="15" x14ac:dyDescent="0.25">
      <c r="B74" s="290" t="s">
        <v>17</v>
      </c>
      <c r="C74" s="291"/>
      <c r="D74" s="123"/>
      <c r="E74" s="123"/>
      <c r="F74" s="95"/>
    </row>
    <row r="75" spans="1:7" x14ac:dyDescent="0.2">
      <c r="B75" s="296" t="s">
        <v>18</v>
      </c>
      <c r="C75" s="292"/>
      <c r="D75" s="123">
        <f>VLOOKUP($B$75,Premies_werknemersverzekeringen[],VLOOKUP($D$73,Jaartal_kolomindex[],2,FALSE),FALSE)</f>
        <v>2.4400000000000002E-2</v>
      </c>
      <c r="E75" s="123">
        <f>VLOOKUP($B$75,Premies_werknemersverzekeringen[],VLOOKUP($E$73,Jaartal_kolomindex[],2,FALSE),FALSE)</f>
        <v>2.64E-2</v>
      </c>
      <c r="F75" s="192">
        <f>VLOOKUP($B$75,Premies_werknemersverzekeringen[],VLOOKUP($F$73,Jaartal_kolomindex[],2,FALSE),FALSE)</f>
        <v>2.8500000000000001E-2</v>
      </c>
    </row>
    <row r="76" spans="1:7" x14ac:dyDescent="0.2">
      <c r="B76" s="296" t="s">
        <v>19</v>
      </c>
      <c r="C76" s="292"/>
      <c r="D76" s="124" t="s">
        <v>20</v>
      </c>
      <c r="E76" s="180" t="s">
        <v>20</v>
      </c>
      <c r="F76" s="125" t="s">
        <v>20</v>
      </c>
    </row>
    <row r="77" spans="1:7" ht="15" x14ac:dyDescent="0.25">
      <c r="B77" s="290" t="s">
        <v>21</v>
      </c>
      <c r="C77" s="291"/>
      <c r="D77" s="123">
        <f>VLOOKUP($B$77,Premies_werknemersverzekeringen[],VLOOKUP($D$73,Jaartal_kolomindex[],2,FALSE),FALSE)</f>
        <v>5.8799999999999998E-2</v>
      </c>
      <c r="E77" s="123">
        <f>VLOOKUP($B$77,Premies_werknemersverzekeringen[],VLOOKUP($E$73,Jaartal_kolomindex[],2,FALSE),FALSE)</f>
        <v>6.1600000000000002E-2</v>
      </c>
      <c r="F77" s="192">
        <f>VLOOKUP($B$77,Premies_werknemersverzekeringen[],VLOOKUP($F$73,Jaartal_kolomindex[],2,FALSE),FALSE)</f>
        <v>6.2700000000000006E-2</v>
      </c>
    </row>
    <row r="78" spans="1:7" x14ac:dyDescent="0.2">
      <c r="B78" s="288" t="s">
        <v>22</v>
      </c>
      <c r="C78" s="289"/>
      <c r="D78" s="123">
        <f>VLOOKUP($B$78,Premies_werknemersverzekeringen[],VLOOKUP($D$73,Jaartal_kolomindex[],2,FALSE),FALSE)</f>
        <v>5.0000000000000001E-3</v>
      </c>
      <c r="E78" s="123">
        <f>VLOOKUP($B$78,Premies_werknemersverzekeringen[],VLOOKUP($E$73,Jaartal_kolomindex[],2,FALSE),FALSE)</f>
        <v>5.0000000000000001E-3</v>
      </c>
      <c r="F78" s="192">
        <f>VLOOKUP($B$78,Premies_werknemersverzekeringen[],VLOOKUP($F$73,Jaartal_kolomindex[],2,FALSE),FALSE)</f>
        <v>5.0000000000000001E-3</v>
      </c>
    </row>
    <row r="79" spans="1:7" ht="30" x14ac:dyDescent="0.25">
      <c r="B79" s="126" t="s">
        <v>23</v>
      </c>
      <c r="C79" s="127"/>
      <c r="D79" s="123">
        <f>VLOOKUP($B$79,Premies_werknemersverzekeringen[],VLOOKUP($D$73,Jaartal_kolomindex[],2,FALSE),FALSE)</f>
        <v>6.7500000000000004E-2</v>
      </c>
      <c r="E79" s="123">
        <f>VLOOKUP($B$79,Premies_werknemersverzekeringen[],VLOOKUP($E$73,Jaartal_kolomindex[],2,FALSE),FALSE)</f>
        <v>6.6500000000000004E-2</v>
      </c>
      <c r="F79" s="192">
        <f>VLOOKUP($B$79,Premies_werknemersverzekeringen[],VLOOKUP($F$73,Jaartal_kolomindex[],2,FALSE),FALSE)</f>
        <v>6.9000000000000006E-2</v>
      </c>
      <c r="G79" s="167"/>
    </row>
    <row r="80" spans="1:7" x14ac:dyDescent="0.2">
      <c r="B80" s="128"/>
      <c r="C80" s="89"/>
      <c r="D80" s="90"/>
      <c r="E80" s="5"/>
      <c r="F80" s="119"/>
    </row>
    <row r="81" spans="2:6" collapsed="1" x14ac:dyDescent="0.2"/>
    <row r="82" spans="2:6" ht="18" customHeight="1" x14ac:dyDescent="0.2">
      <c r="B82" s="281" t="str">
        <f>"Sectorale premies "&amp;Hulpsheet!$B$2</f>
        <v>Sectorale premies 2018</v>
      </c>
      <c r="C82" s="282"/>
      <c r="D82" s="282"/>
      <c r="E82" s="282"/>
      <c r="F82" s="283"/>
    </row>
    <row r="83" spans="2:6" x14ac:dyDescent="0.2">
      <c r="B83" s="129"/>
      <c r="C83" s="101"/>
      <c r="D83" s="130"/>
      <c r="E83" s="9"/>
      <c r="F83" s="8"/>
    </row>
    <row r="84" spans="2:6" ht="18" customHeight="1" x14ac:dyDescent="0.3">
      <c r="B84" s="255" t="s">
        <v>24</v>
      </c>
      <c r="C84" s="131"/>
      <c r="D84" s="132"/>
      <c r="E84" s="132" t="s">
        <v>235</v>
      </c>
      <c r="F84" s="257" t="s">
        <v>25</v>
      </c>
    </row>
    <row r="85" spans="2:6" s="138" customFormat="1" x14ac:dyDescent="0.2">
      <c r="B85" s="133" t="s">
        <v>26</v>
      </c>
      <c r="C85" s="134" t="s">
        <v>27</v>
      </c>
      <c r="D85" s="135"/>
      <c r="E85" s="165">
        <f>VLOOKUP(B85,WGA_totaal_premies[],VLOOKUP(VALUE(RIGHT($B$82,4)),Jaartal_kolomindex[],2,FALSE),FALSE)</f>
        <v>6.7000000000000002E-3</v>
      </c>
      <c r="F85" s="137">
        <f>VLOOKUP(B85,ZW_flex_premies[],VLOOKUP(VALUE(RIGHT($B$82,4)),Jaartal_kolomindex[],2,FALSE),FALSE)</f>
        <v>2.8E-3</v>
      </c>
    </row>
    <row r="86" spans="2:6" s="138" customFormat="1" x14ac:dyDescent="0.2">
      <c r="B86" s="139" t="s">
        <v>28</v>
      </c>
      <c r="C86" s="140" t="s">
        <v>29</v>
      </c>
      <c r="D86" s="141"/>
      <c r="E86" s="165">
        <f>VLOOKUP(B86,WGA_totaal_premies[],VLOOKUP(VALUE(RIGHT($B$82,4)),Jaartal_kolomindex[],2,FALSE),FALSE)</f>
        <v>9.1000000000000004E-3</v>
      </c>
      <c r="F86" s="137">
        <f>VLOOKUP(B86,ZW_flex_premies[],VLOOKUP(VALUE(RIGHT($B$82,4)),Jaartal_kolomindex[],2,FALSE),FALSE)</f>
        <v>2.2000000000000001E-3</v>
      </c>
    </row>
    <row r="87" spans="2:6" s="138" customFormat="1" x14ac:dyDescent="0.2">
      <c r="B87" s="139" t="s">
        <v>30</v>
      </c>
      <c r="C87" s="140" t="s">
        <v>31</v>
      </c>
      <c r="D87" s="141"/>
      <c r="E87" s="165">
        <f>VLOOKUP(B87,WGA_totaal_premies[],VLOOKUP(VALUE(RIGHT($B$82,4)),Jaartal_kolomindex[],2,FALSE),FALSE)</f>
        <v>9.9000000000000008E-3</v>
      </c>
      <c r="F87" s="137">
        <f>VLOOKUP(B87,ZW_flex_premies[],VLOOKUP(VALUE(RIGHT($B$82,4)),Jaartal_kolomindex[],2,FALSE),FALSE)</f>
        <v>2.5000000000000001E-3</v>
      </c>
    </row>
    <row r="88" spans="2:6" s="138" customFormat="1" x14ac:dyDescent="0.2">
      <c r="B88" s="139" t="s">
        <v>32</v>
      </c>
      <c r="C88" s="140" t="s">
        <v>33</v>
      </c>
      <c r="D88" s="141"/>
      <c r="E88" s="165">
        <f>VLOOKUP(B88,WGA_totaal_premies[],VLOOKUP(VALUE(RIGHT($B$82,4)),Jaartal_kolomindex[],2,FALSE),FALSE)</f>
        <v>3.7000000000000002E-3</v>
      </c>
      <c r="F88" s="137">
        <f>VLOOKUP(B88,ZW_flex_premies[],VLOOKUP(VALUE(RIGHT($B$82,4)),Jaartal_kolomindex[],2,FALSE),FALSE)</f>
        <v>8.0000000000000004E-4</v>
      </c>
    </row>
    <row r="89" spans="2:6" s="138" customFormat="1" x14ac:dyDescent="0.2">
      <c r="B89" s="139" t="s">
        <v>34</v>
      </c>
      <c r="C89" s="140" t="s">
        <v>35</v>
      </c>
      <c r="D89" s="141"/>
      <c r="E89" s="165">
        <f>VLOOKUP(B89,WGA_totaal_premies[],VLOOKUP(VALUE(RIGHT($B$82,4)),Jaartal_kolomindex[],2,FALSE),FALSE)</f>
        <v>8.6999999999999994E-3</v>
      </c>
      <c r="F89" s="137">
        <f>VLOOKUP(B89,ZW_flex_premies[],VLOOKUP(VALUE(RIGHT($B$82,4)),Jaartal_kolomindex[],2,FALSE),FALSE)</f>
        <v>2.5000000000000001E-3</v>
      </c>
    </row>
    <row r="90" spans="2:6" s="138" customFormat="1" x14ac:dyDescent="0.2">
      <c r="B90" s="139" t="s">
        <v>36</v>
      </c>
      <c r="C90" s="140" t="s">
        <v>37</v>
      </c>
      <c r="D90" s="141"/>
      <c r="E90" s="165">
        <f>VLOOKUP(B90,WGA_totaal_premies[],VLOOKUP(VALUE(RIGHT($B$82,4)),Jaartal_kolomindex[],2,FALSE),FALSE)</f>
        <v>8.0999999999999996E-3</v>
      </c>
      <c r="F90" s="137">
        <f>VLOOKUP(B90,ZW_flex_premies[],VLOOKUP(VALUE(RIGHT($B$82,4)),Jaartal_kolomindex[],2,FALSE),FALSE)</f>
        <v>3.0000000000000001E-3</v>
      </c>
    </row>
    <row r="91" spans="2:6" s="138" customFormat="1" x14ac:dyDescent="0.2">
      <c r="B91" s="139" t="s">
        <v>38</v>
      </c>
      <c r="C91" s="140" t="s">
        <v>39</v>
      </c>
      <c r="D91" s="141"/>
      <c r="E91" s="165">
        <f>VLOOKUP(B91,WGA_totaal_premies[],VLOOKUP(VALUE(RIGHT($B$82,4)),Jaartal_kolomindex[],2,FALSE),FALSE)</f>
        <v>8.8000000000000005E-3</v>
      </c>
      <c r="F91" s="137">
        <f>VLOOKUP(B91,ZW_flex_premies[],VLOOKUP(VALUE(RIGHT($B$82,4)),Jaartal_kolomindex[],2,FALSE),FALSE)</f>
        <v>2.7000000000000001E-3</v>
      </c>
    </row>
    <row r="92" spans="2:6" s="138" customFormat="1" x14ac:dyDescent="0.2">
      <c r="B92" s="139" t="s">
        <v>40</v>
      </c>
      <c r="C92" s="140" t="s">
        <v>41</v>
      </c>
      <c r="D92" s="141"/>
      <c r="E92" s="165">
        <f>VLOOKUP(B92,WGA_totaal_premies[],VLOOKUP(VALUE(RIGHT($B$82,4)),Jaartal_kolomindex[],2,FALSE),FALSE)</f>
        <v>1.1299999999999999E-2</v>
      </c>
      <c r="F92" s="137">
        <f>VLOOKUP(B92,ZW_flex_premies[],VLOOKUP(VALUE(RIGHT($B$82,4)),Jaartal_kolomindex[],2,FALSE),FALSE)</f>
        <v>4.1000000000000003E-3</v>
      </c>
    </row>
    <row r="93" spans="2:6" s="138" customFormat="1" x14ac:dyDescent="0.2">
      <c r="B93" s="139" t="s">
        <v>42</v>
      </c>
      <c r="C93" s="140" t="s">
        <v>43</v>
      </c>
      <c r="D93" s="141"/>
      <c r="E93" s="165">
        <f>VLOOKUP(B93,WGA_totaal_premies[],VLOOKUP(VALUE(RIGHT($B$82,4)),Jaartal_kolomindex[],2,FALSE),FALSE)</f>
        <v>7.1000000000000004E-3</v>
      </c>
      <c r="F93" s="137">
        <f>VLOOKUP(B93,ZW_flex_premies[],VLOOKUP(VALUE(RIGHT($B$82,4)),Jaartal_kolomindex[],2,FALSE),FALSE)</f>
        <v>2.8999999999999998E-3</v>
      </c>
    </row>
    <row r="94" spans="2:6" s="138" customFormat="1" x14ac:dyDescent="0.2">
      <c r="B94" s="139" t="s">
        <v>44</v>
      </c>
      <c r="C94" s="140" t="s">
        <v>45</v>
      </c>
      <c r="D94" s="141"/>
      <c r="E94" s="165">
        <f>VLOOKUP(B94,WGA_totaal_premies[],VLOOKUP(VALUE(RIGHT($B$82,4)),Jaartal_kolomindex[],2,FALSE),FALSE)</f>
        <v>4.8999999999999998E-3</v>
      </c>
      <c r="F94" s="137">
        <f>VLOOKUP(B94,ZW_flex_premies[],VLOOKUP(VALUE(RIGHT($B$82,4)),Jaartal_kolomindex[],2,FALSE),FALSE)</f>
        <v>2.8E-3</v>
      </c>
    </row>
    <row r="95" spans="2:6" s="138" customFormat="1" x14ac:dyDescent="0.2">
      <c r="B95" s="139" t="s">
        <v>46</v>
      </c>
      <c r="C95" s="140" t="s">
        <v>47</v>
      </c>
      <c r="D95" s="141"/>
      <c r="E95" s="165">
        <f>VLOOKUP(B95,WGA_totaal_premies[],VLOOKUP(VALUE(RIGHT($B$82,4)),Jaartal_kolomindex[],2,FALSE),FALSE)</f>
        <v>2.7000000000000001E-3</v>
      </c>
      <c r="F95" s="137">
        <f>VLOOKUP(B95,ZW_flex_premies[],VLOOKUP(VALUE(RIGHT($B$82,4)),Jaartal_kolomindex[],2,FALSE),FALSE)</f>
        <v>5.7999999999999996E-3</v>
      </c>
    </row>
    <row r="96" spans="2:6" s="138" customFormat="1" x14ac:dyDescent="0.2">
      <c r="B96" s="139" t="s">
        <v>48</v>
      </c>
      <c r="C96" s="140" t="s">
        <v>49</v>
      </c>
      <c r="D96" s="141"/>
      <c r="E96" s="165">
        <f>VLOOKUP(B96,WGA_totaal_premies[],VLOOKUP(VALUE(RIGHT($B$82,4)),Jaartal_kolomindex[],2,FALSE),FALSE)</f>
        <v>7.7999999999999996E-3</v>
      </c>
      <c r="F96" s="137">
        <f>VLOOKUP(B96,ZW_flex_premies[],VLOOKUP(VALUE(RIGHT($B$82,4)),Jaartal_kolomindex[],2,FALSE),FALSE)</f>
        <v>3.5999999999999999E-3</v>
      </c>
    </row>
    <row r="97" spans="2:6" s="138" customFormat="1" x14ac:dyDescent="0.2">
      <c r="B97" s="139" t="s">
        <v>50</v>
      </c>
      <c r="C97" s="140" t="s">
        <v>51</v>
      </c>
      <c r="D97" s="141"/>
      <c r="E97" s="165">
        <f>VLOOKUP(B97,WGA_totaal_premies[],VLOOKUP(VALUE(RIGHT($B$82,4)),Jaartal_kolomindex[],2,FALSE),FALSE)</f>
        <v>1.3100000000000001E-2</v>
      </c>
      <c r="F97" s="137">
        <f>VLOOKUP(B97,ZW_flex_premies[],VLOOKUP(VALUE(RIGHT($B$82,4)),Jaartal_kolomindex[],2,FALSE),FALSE)</f>
        <v>4.4999999999999997E-3</v>
      </c>
    </row>
    <row r="98" spans="2:6" s="138" customFormat="1" x14ac:dyDescent="0.2">
      <c r="B98" s="139" t="s">
        <v>52</v>
      </c>
      <c r="C98" s="140" t="s">
        <v>53</v>
      </c>
      <c r="D98" s="141"/>
      <c r="E98" s="165">
        <f>VLOOKUP(B98,WGA_totaal_premies[],VLOOKUP(VALUE(RIGHT($B$82,4)),Jaartal_kolomindex[],2,FALSE),FALSE)</f>
        <v>1.26E-2</v>
      </c>
      <c r="F98" s="137">
        <f>VLOOKUP(B98,ZW_flex_premies[],VLOOKUP(VALUE(RIGHT($B$82,4)),Jaartal_kolomindex[],2,FALSE),FALSE)</f>
        <v>3.5999999999999999E-3</v>
      </c>
    </row>
    <row r="99" spans="2:6" s="138" customFormat="1" x14ac:dyDescent="0.2">
      <c r="B99" s="139" t="s">
        <v>54</v>
      </c>
      <c r="C99" s="140" t="s">
        <v>55</v>
      </c>
      <c r="D99" s="141"/>
      <c r="E99" s="165">
        <f>VLOOKUP(B99,WGA_totaal_premies[],VLOOKUP(VALUE(RIGHT($B$82,4)),Jaartal_kolomindex[],2,FALSE),FALSE)</f>
        <v>1.5100000000000001E-2</v>
      </c>
      <c r="F99" s="137">
        <f>VLOOKUP(B99,ZW_flex_premies[],VLOOKUP(VALUE(RIGHT($B$82,4)),Jaartal_kolomindex[],2,FALSE),FALSE)</f>
        <v>3.5999999999999999E-3</v>
      </c>
    </row>
    <row r="100" spans="2:6" s="138" customFormat="1" x14ac:dyDescent="0.2">
      <c r="B100" s="139" t="s">
        <v>56</v>
      </c>
      <c r="C100" s="140" t="s">
        <v>57</v>
      </c>
      <c r="D100" s="141"/>
      <c r="E100" s="165">
        <f>VLOOKUP(B100,WGA_totaal_premies[],VLOOKUP(VALUE(RIGHT($B$82,4)),Jaartal_kolomindex[],2,FALSE),FALSE)</f>
        <v>9.2999999999999992E-3</v>
      </c>
      <c r="F100" s="137">
        <f>VLOOKUP(B100,ZW_flex_premies[],VLOOKUP(VALUE(RIGHT($B$82,4)),Jaartal_kolomindex[],2,FALSE),FALSE)</f>
        <v>4.7999999999999996E-3</v>
      </c>
    </row>
    <row r="101" spans="2:6" s="138" customFormat="1" x14ac:dyDescent="0.2">
      <c r="B101" s="139" t="s">
        <v>58</v>
      </c>
      <c r="C101" s="140" t="s">
        <v>59</v>
      </c>
      <c r="D101" s="141"/>
      <c r="E101" s="165">
        <f>VLOOKUP(B101,WGA_totaal_premies[],VLOOKUP(VALUE(RIGHT($B$82,4)),Jaartal_kolomindex[],2,FALSE),FALSE)</f>
        <v>8.6E-3</v>
      </c>
      <c r="F101" s="137">
        <f>VLOOKUP(B101,ZW_flex_premies[],VLOOKUP(VALUE(RIGHT($B$82,4)),Jaartal_kolomindex[],2,FALSE),FALSE)</f>
        <v>4.7999999999999996E-3</v>
      </c>
    </row>
    <row r="102" spans="2:6" s="138" customFormat="1" x14ac:dyDescent="0.2">
      <c r="B102" s="139" t="s">
        <v>60</v>
      </c>
      <c r="C102" s="140" t="s">
        <v>61</v>
      </c>
      <c r="D102" s="141"/>
      <c r="E102" s="165">
        <f>VLOOKUP(B102,WGA_totaal_premies[],VLOOKUP(VALUE(RIGHT($B$82,4)),Jaartal_kolomindex[],2,FALSE),FALSE)</f>
        <v>2.0500000000000001E-2</v>
      </c>
      <c r="F102" s="137">
        <f>VLOOKUP(B102,ZW_flex_premies[],VLOOKUP(VALUE(RIGHT($B$82,4)),Jaartal_kolomindex[],2,FALSE),FALSE)</f>
        <v>8.5000000000000006E-3</v>
      </c>
    </row>
    <row r="103" spans="2:6" s="138" customFormat="1" x14ac:dyDescent="0.2">
      <c r="B103" s="139" t="s">
        <v>62</v>
      </c>
      <c r="C103" s="140" t="s">
        <v>63</v>
      </c>
      <c r="D103" s="141"/>
      <c r="E103" s="165">
        <f>VLOOKUP(B103,WGA_totaal_premies[],VLOOKUP(VALUE(RIGHT($B$82,4)),Jaartal_kolomindex[],2,FALSE),FALSE)</f>
        <v>9.9000000000000008E-3</v>
      </c>
      <c r="F103" s="137">
        <f>VLOOKUP(B103,ZW_flex_premies[],VLOOKUP(VALUE(RIGHT($B$82,4)),Jaartal_kolomindex[],2,FALSE),FALSE)</f>
        <v>4.1000000000000003E-3</v>
      </c>
    </row>
    <row r="104" spans="2:6" s="138" customFormat="1" x14ac:dyDescent="0.2">
      <c r="B104" s="139" t="s">
        <v>64</v>
      </c>
      <c r="C104" s="140" t="s">
        <v>65</v>
      </c>
      <c r="D104" s="141"/>
      <c r="E104" s="165">
        <f>VLOOKUP(B104,WGA_totaal_premies[],VLOOKUP(VALUE(RIGHT($B$82,4)),Jaartal_kolomindex[],2,FALSE),FALSE)</f>
        <v>6.0000000000000001E-3</v>
      </c>
      <c r="F104" s="137">
        <f>VLOOKUP(B104,ZW_flex_premies[],VLOOKUP(VALUE(RIGHT($B$82,4)),Jaartal_kolomindex[],2,FALSE),FALSE)</f>
        <v>1.0200000000000001E-2</v>
      </c>
    </row>
    <row r="105" spans="2:6" s="138" customFormat="1" x14ac:dyDescent="0.2">
      <c r="B105" s="139" t="s">
        <v>66</v>
      </c>
      <c r="C105" s="140" t="s">
        <v>67</v>
      </c>
      <c r="D105" s="141"/>
      <c r="E105" s="165">
        <f>VLOOKUP(B105,WGA_totaal_premies[],VLOOKUP(VALUE(RIGHT($B$82,4)),Jaartal_kolomindex[],2,FALSE),FALSE)</f>
        <v>8.3999999999999995E-3</v>
      </c>
      <c r="F105" s="137">
        <f>VLOOKUP(B105,ZW_flex_premies[],VLOOKUP(VALUE(RIGHT($B$82,4)),Jaartal_kolomindex[],2,FALSE),FALSE)</f>
        <v>5.8999999999999999E-3</v>
      </c>
    </row>
    <row r="106" spans="2:6" s="138" customFormat="1" x14ac:dyDescent="0.2">
      <c r="B106" s="139" t="s">
        <v>68</v>
      </c>
      <c r="C106" s="140" t="s">
        <v>69</v>
      </c>
      <c r="D106" s="141"/>
      <c r="E106" s="165">
        <f>VLOOKUP(B106,WGA_totaal_premies[],VLOOKUP(VALUE(RIGHT($B$82,4)),Jaartal_kolomindex[],2,FALSE),FALSE)</f>
        <v>6.8999999999999999E-3</v>
      </c>
      <c r="F106" s="137">
        <f>VLOOKUP(B106,ZW_flex_premies[],VLOOKUP(VALUE(RIGHT($B$82,4)),Jaartal_kolomindex[],2,FALSE),FALSE)</f>
        <v>3.2000000000000002E-3</v>
      </c>
    </row>
    <row r="107" spans="2:6" s="138" customFormat="1" x14ac:dyDescent="0.2">
      <c r="B107" s="139" t="s">
        <v>70</v>
      </c>
      <c r="C107" s="140" t="s">
        <v>71</v>
      </c>
      <c r="D107" s="141"/>
      <c r="E107" s="165">
        <f>VLOOKUP(B107,WGA_totaal_premies[],VLOOKUP(VALUE(RIGHT($B$82,4)),Jaartal_kolomindex[],2,FALSE),FALSE)</f>
        <v>6.4999999999999997E-3</v>
      </c>
      <c r="F107" s="137">
        <f>VLOOKUP(B107,ZW_flex_premies[],VLOOKUP(VALUE(RIGHT($B$82,4)),Jaartal_kolomindex[],2,FALSE),FALSE)</f>
        <v>3.8E-3</v>
      </c>
    </row>
    <row r="108" spans="2:6" s="138" customFormat="1" x14ac:dyDescent="0.2">
      <c r="B108" s="139" t="s">
        <v>72</v>
      </c>
      <c r="C108" s="140" t="s">
        <v>73</v>
      </c>
      <c r="D108" s="141"/>
      <c r="E108" s="165">
        <f>VLOOKUP(B108,WGA_totaal_premies[],VLOOKUP(VALUE(RIGHT($B$82,4)),Jaartal_kolomindex[],2,FALSE),FALSE)</f>
        <v>3.3999999999999998E-3</v>
      </c>
      <c r="F108" s="137">
        <f>VLOOKUP(B108,ZW_flex_premies[],VLOOKUP(VALUE(RIGHT($B$82,4)),Jaartal_kolomindex[],2,FALSE),FALSE)</f>
        <v>6.3E-3</v>
      </c>
    </row>
    <row r="109" spans="2:6" s="138" customFormat="1" x14ac:dyDescent="0.2">
      <c r="B109" s="139" t="s">
        <v>74</v>
      </c>
      <c r="C109" s="140" t="s">
        <v>75</v>
      </c>
      <c r="D109" s="141"/>
      <c r="E109" s="165">
        <f>VLOOKUP(B109,WGA_totaal_premies[],VLOOKUP(VALUE(RIGHT($B$82,4)),Jaartal_kolomindex[],2,FALSE),FALSE)</f>
        <v>1.55E-2</v>
      </c>
      <c r="F109" s="137">
        <f>VLOOKUP(B109,ZW_flex_premies[],VLOOKUP(VALUE(RIGHT($B$82,4)),Jaartal_kolomindex[],2,FALSE),FALSE)</f>
        <v>6.3E-3</v>
      </c>
    </row>
    <row r="110" spans="2:6" s="138" customFormat="1" x14ac:dyDescent="0.2">
      <c r="B110" s="139" t="s">
        <v>76</v>
      </c>
      <c r="C110" s="140" t="s">
        <v>77</v>
      </c>
      <c r="D110" s="141"/>
      <c r="E110" s="165">
        <f>VLOOKUP(B110,WGA_totaal_premies[],VLOOKUP(VALUE(RIGHT($B$82,4)),Jaartal_kolomindex[],2,FALSE),FALSE)</f>
        <v>8.6999999999999994E-3</v>
      </c>
      <c r="F110" s="137">
        <f>VLOOKUP(B110,ZW_flex_premies[],VLOOKUP(VALUE(RIGHT($B$82,4)),Jaartal_kolomindex[],2,FALSE),FALSE)</f>
        <v>6.3E-3</v>
      </c>
    </row>
    <row r="111" spans="2:6" s="138" customFormat="1" x14ac:dyDescent="0.2">
      <c r="B111" s="139" t="s">
        <v>78</v>
      </c>
      <c r="C111" s="140" t="s">
        <v>79</v>
      </c>
      <c r="D111" s="141"/>
      <c r="E111" s="165">
        <f>VLOOKUP(B111,WGA_totaal_premies[],VLOOKUP(VALUE(RIGHT($B$82,4)),Jaartal_kolomindex[],2,FALSE),FALSE)</f>
        <v>6.1000000000000004E-3</v>
      </c>
      <c r="F111" s="137">
        <f>VLOOKUP(B111,ZW_flex_premies[],VLOOKUP(VALUE(RIGHT($B$82,4)),Jaartal_kolomindex[],2,FALSE),FALSE)</f>
        <v>3.3999999999999998E-3</v>
      </c>
    </row>
    <row r="112" spans="2:6" s="138" customFormat="1" x14ac:dyDescent="0.2">
      <c r="B112" s="139" t="s">
        <v>80</v>
      </c>
      <c r="C112" s="140" t="s">
        <v>81</v>
      </c>
      <c r="D112" s="141"/>
      <c r="E112" s="165">
        <f>VLOOKUP(B112,WGA_totaal_premies[],VLOOKUP(VALUE(RIGHT($B$82,4)),Jaartal_kolomindex[],2,FALSE),FALSE)</f>
        <v>2.35E-2</v>
      </c>
      <c r="F112" s="137">
        <f>VLOOKUP(B112,ZW_flex_premies[],VLOOKUP(VALUE(RIGHT($B$82,4)),Jaartal_kolomindex[],2,FALSE),FALSE)</f>
        <v>1.5900000000000001E-2</v>
      </c>
    </row>
    <row r="113" spans="2:6" s="138" customFormat="1" x14ac:dyDescent="0.2">
      <c r="B113" s="139" t="s">
        <v>82</v>
      </c>
      <c r="C113" s="140" t="s">
        <v>83</v>
      </c>
      <c r="D113" s="141"/>
      <c r="E113" s="165">
        <f>VLOOKUP(B113,WGA_totaal_premies[],VLOOKUP(VALUE(RIGHT($B$82,4)),Jaartal_kolomindex[],2,FALSE),FALSE)</f>
        <v>7.3000000000000001E-3</v>
      </c>
      <c r="F113" s="137">
        <f>VLOOKUP(B113,ZW_flex_premies[],VLOOKUP(VALUE(RIGHT($B$82,4)),Jaartal_kolomindex[],2,FALSE),FALSE)</f>
        <v>1.18E-2</v>
      </c>
    </row>
    <row r="114" spans="2:6" s="138" customFormat="1" x14ac:dyDescent="0.2">
      <c r="B114" s="139" t="s">
        <v>84</v>
      </c>
      <c r="C114" s="140" t="s">
        <v>85</v>
      </c>
      <c r="D114" s="141"/>
      <c r="E114" s="165">
        <f>VLOOKUP(B114,WGA_totaal_premies[],VLOOKUP(VALUE(RIGHT($B$82,4)),Jaartal_kolomindex[],2,FALSE),FALSE)</f>
        <v>1.1900000000000001E-2</v>
      </c>
      <c r="F114" s="137">
        <f>VLOOKUP(B114,ZW_flex_premies[],VLOOKUP(VALUE(RIGHT($B$82,4)),Jaartal_kolomindex[],2,FALSE),FALSE)</f>
        <v>7.0000000000000001E-3</v>
      </c>
    </row>
    <row r="115" spans="2:6" s="138" customFormat="1" x14ac:dyDescent="0.2">
      <c r="B115" s="139" t="s">
        <v>86</v>
      </c>
      <c r="C115" s="140" t="s">
        <v>87</v>
      </c>
      <c r="D115" s="141"/>
      <c r="E115" s="165">
        <f>VLOOKUP(B115,WGA_totaal_premies[],VLOOKUP(VALUE(RIGHT($B$82,4)),Jaartal_kolomindex[],2,FALSE),FALSE)</f>
        <v>4.7000000000000002E-3</v>
      </c>
      <c r="F115" s="137">
        <f>VLOOKUP(B115,ZW_flex_premies[],VLOOKUP(VALUE(RIGHT($B$82,4)),Jaartal_kolomindex[],2,FALSE),FALSE)</f>
        <v>8.0999999999999996E-3</v>
      </c>
    </row>
    <row r="116" spans="2:6" s="138" customFormat="1" x14ac:dyDescent="0.2">
      <c r="B116" s="139" t="s">
        <v>88</v>
      </c>
      <c r="C116" s="140" t="s">
        <v>89</v>
      </c>
      <c r="D116" s="141"/>
      <c r="E116" s="165">
        <f>VLOOKUP(B116,WGA_totaal_premies[],VLOOKUP(VALUE(RIGHT($B$82,4)),Jaartal_kolomindex[],2,FALSE),FALSE)</f>
        <v>8.2000000000000007E-3</v>
      </c>
      <c r="F116" s="137">
        <f>VLOOKUP(B116,ZW_flex_premies[],VLOOKUP(VALUE(RIGHT($B$82,4)),Jaartal_kolomindex[],2,FALSE),FALSE)</f>
        <v>5.7000000000000002E-3</v>
      </c>
    </row>
    <row r="117" spans="2:6" s="138" customFormat="1" x14ac:dyDescent="0.2">
      <c r="B117" s="139" t="s">
        <v>90</v>
      </c>
      <c r="C117" s="140" t="s">
        <v>91</v>
      </c>
      <c r="D117" s="141"/>
      <c r="E117" s="165">
        <f>VLOOKUP(B117,WGA_totaal_premies[],VLOOKUP(VALUE(RIGHT($B$82,4)),Jaartal_kolomindex[],2,FALSE),FALSE)</f>
        <v>7.3000000000000001E-3</v>
      </c>
      <c r="F117" s="137">
        <f>VLOOKUP(B117,ZW_flex_premies[],VLOOKUP(VALUE(RIGHT($B$82,4)),Jaartal_kolomindex[],2,FALSE),FALSE)</f>
        <v>5.7000000000000002E-3</v>
      </c>
    </row>
    <row r="118" spans="2:6" s="138" customFormat="1" x14ac:dyDescent="0.2">
      <c r="B118" s="139" t="s">
        <v>92</v>
      </c>
      <c r="C118" s="140" t="s">
        <v>93</v>
      </c>
      <c r="D118" s="141"/>
      <c r="E118" s="165">
        <f>VLOOKUP(B118,WGA_totaal_premies[],VLOOKUP(VALUE(RIGHT($B$82,4)),Jaartal_kolomindex[],2,FALSE),FALSE)</f>
        <v>9.7999999999999997E-3</v>
      </c>
      <c r="F118" s="137">
        <f>VLOOKUP(B118,ZW_flex_premies[],VLOOKUP(VALUE(RIGHT($B$82,4)),Jaartal_kolomindex[],2,FALSE),FALSE)</f>
        <v>6.4999999999999997E-3</v>
      </c>
    </row>
    <row r="119" spans="2:6" s="138" customFormat="1" x14ac:dyDescent="0.2">
      <c r="B119" s="139" t="s">
        <v>94</v>
      </c>
      <c r="C119" s="140" t="s">
        <v>95</v>
      </c>
      <c r="D119" s="141"/>
      <c r="E119" s="165">
        <f>VLOOKUP(B119,WGA_totaal_premies[],VLOOKUP(VALUE(RIGHT($B$82,4)),Jaartal_kolomindex[],2,FALSE),FALSE)</f>
        <v>7.7000000000000002E-3</v>
      </c>
      <c r="F119" s="137">
        <f>VLOOKUP(B119,ZW_flex_premies[],VLOOKUP(VALUE(RIGHT($B$82,4)),Jaartal_kolomindex[],2,FALSE),FALSE)</f>
        <v>3.3E-3</v>
      </c>
    </row>
    <row r="120" spans="2:6" s="138" customFormat="1" x14ac:dyDescent="0.2">
      <c r="B120" s="139" t="s">
        <v>96</v>
      </c>
      <c r="C120" s="140" t="s">
        <v>97</v>
      </c>
      <c r="D120" s="141"/>
      <c r="E120" s="165">
        <f>VLOOKUP(B120,WGA_totaal_premies[],VLOOKUP(VALUE(RIGHT($B$82,4)),Jaartal_kolomindex[],2,FALSE),FALSE)</f>
        <v>3.3999999999999998E-3</v>
      </c>
      <c r="F120" s="137">
        <f>VLOOKUP(B120,ZW_flex_premies[],VLOOKUP(VALUE(RIGHT($B$82,4)),Jaartal_kolomindex[],2,FALSE),FALSE)</f>
        <v>1.2999999999999999E-3</v>
      </c>
    </row>
    <row r="121" spans="2:6" s="138" customFormat="1" x14ac:dyDescent="0.2">
      <c r="B121" s="139" t="s">
        <v>98</v>
      </c>
      <c r="C121" s="140" t="s">
        <v>99</v>
      </c>
      <c r="D121" s="141"/>
      <c r="E121" s="165">
        <f>VLOOKUP(B121,WGA_totaal_premies[],VLOOKUP(VALUE(RIGHT($B$82,4)),Jaartal_kolomindex[],2,FALSE),FALSE)</f>
        <v>5.0000000000000001E-3</v>
      </c>
      <c r="F121" s="137">
        <f>VLOOKUP(B121,ZW_flex_premies[],VLOOKUP(VALUE(RIGHT($B$82,4)),Jaartal_kolomindex[],2,FALSE),FALSE)</f>
        <v>1.1000000000000001E-3</v>
      </c>
    </row>
    <row r="122" spans="2:6" s="138" customFormat="1" x14ac:dyDescent="0.2">
      <c r="B122" s="139" t="s">
        <v>100</v>
      </c>
      <c r="C122" s="140" t="s">
        <v>101</v>
      </c>
      <c r="D122" s="141"/>
      <c r="E122" s="165">
        <f>VLOOKUP(B122,WGA_totaal_premies[],VLOOKUP(VALUE(RIGHT($B$82,4)),Jaartal_kolomindex[],2,FALSE),FALSE)</f>
        <v>6.6E-3</v>
      </c>
      <c r="F122" s="137">
        <f>VLOOKUP(B122,ZW_flex_premies[],VLOOKUP(VALUE(RIGHT($B$82,4)),Jaartal_kolomindex[],2,FALSE),FALSE)</f>
        <v>2.3E-3</v>
      </c>
    </row>
    <row r="123" spans="2:6" s="138" customFormat="1" x14ac:dyDescent="0.2">
      <c r="B123" s="139" t="s">
        <v>102</v>
      </c>
      <c r="C123" s="140" t="s">
        <v>103</v>
      </c>
      <c r="D123" s="141"/>
      <c r="E123" s="165">
        <f>VLOOKUP(B123,WGA_totaal_premies[],VLOOKUP(VALUE(RIGHT($B$82,4)),Jaartal_kolomindex[],2,FALSE),FALSE)</f>
        <v>5.5999999999999999E-3</v>
      </c>
      <c r="F123" s="137">
        <f>VLOOKUP(B123,ZW_flex_premies[],VLOOKUP(VALUE(RIGHT($B$82,4)),Jaartal_kolomindex[],2,FALSE),FALSE)</f>
        <v>2.5999999999999999E-3</v>
      </c>
    </row>
    <row r="124" spans="2:6" s="138" customFormat="1" x14ac:dyDescent="0.2">
      <c r="B124" s="139" t="s">
        <v>104</v>
      </c>
      <c r="C124" s="140" t="s">
        <v>105</v>
      </c>
      <c r="D124" s="141"/>
      <c r="E124" s="165">
        <f>VLOOKUP(B124,WGA_totaal_premies[],VLOOKUP(VALUE(RIGHT($B$82,4)),Jaartal_kolomindex[],2,FALSE),FALSE)</f>
        <v>6.3E-3</v>
      </c>
      <c r="F124" s="137">
        <f>VLOOKUP(B124,ZW_flex_premies[],VLOOKUP(VALUE(RIGHT($B$82,4)),Jaartal_kolomindex[],2,FALSE),FALSE)</f>
        <v>2.8E-3</v>
      </c>
    </row>
    <row r="125" spans="2:6" s="138" customFormat="1" x14ac:dyDescent="0.2">
      <c r="B125" s="139" t="s">
        <v>106</v>
      </c>
      <c r="C125" s="140" t="s">
        <v>107</v>
      </c>
      <c r="D125" s="141"/>
      <c r="E125" s="165">
        <f>VLOOKUP(B125,WGA_totaal_premies[],VLOOKUP(VALUE(RIGHT($B$82,4)),Jaartal_kolomindex[],2,FALSE),FALSE)</f>
        <v>5.3E-3</v>
      </c>
      <c r="F125" s="137">
        <f>VLOOKUP(B125,ZW_flex_premies[],VLOOKUP(VALUE(RIGHT($B$82,4)),Jaartal_kolomindex[],2,FALSE),FALSE)</f>
        <v>1.1999999999999999E-3</v>
      </c>
    </row>
    <row r="126" spans="2:6" s="138" customFormat="1" x14ac:dyDescent="0.2">
      <c r="B126" s="139" t="s">
        <v>108</v>
      </c>
      <c r="C126" s="140" t="s">
        <v>109</v>
      </c>
      <c r="D126" s="141"/>
      <c r="E126" s="165">
        <f>VLOOKUP(B126,WGA_totaal_premies[],VLOOKUP(VALUE(RIGHT($B$82,4)),Jaartal_kolomindex[],2,FALSE),FALSE)</f>
        <v>3.5999999999999999E-3</v>
      </c>
      <c r="F126" s="137">
        <f>VLOOKUP(B126,ZW_flex_premies[],VLOOKUP(VALUE(RIGHT($B$82,4)),Jaartal_kolomindex[],2,FALSE),FALSE)</f>
        <v>2.8999999999999998E-3</v>
      </c>
    </row>
    <row r="127" spans="2:6" s="138" customFormat="1" x14ac:dyDescent="0.2">
      <c r="B127" s="139" t="s">
        <v>110</v>
      </c>
      <c r="C127" s="140" t="s">
        <v>111</v>
      </c>
      <c r="D127" s="141"/>
      <c r="E127" s="165">
        <f>VLOOKUP(B127,WGA_totaal_premies[],VLOOKUP(VALUE(RIGHT($B$82,4)),Jaartal_kolomindex[],2,FALSE),FALSE)</f>
        <v>5.5999999999999999E-3</v>
      </c>
      <c r="F127" s="137">
        <f>VLOOKUP(B127,ZW_flex_premies[],VLOOKUP(VALUE(RIGHT($B$82,4)),Jaartal_kolomindex[],2,FALSE),FALSE)</f>
        <v>5.5999999999999999E-3</v>
      </c>
    </row>
    <row r="128" spans="2:6" s="138" customFormat="1" x14ac:dyDescent="0.2">
      <c r="B128" s="139" t="s">
        <v>112</v>
      </c>
      <c r="C128" s="140" t="s">
        <v>113</v>
      </c>
      <c r="D128" s="141"/>
      <c r="E128" s="165">
        <f>VLOOKUP(B128,WGA_totaal_premies[],VLOOKUP(VALUE(RIGHT($B$82,4)),Jaartal_kolomindex[],2,FALSE),FALSE)</f>
        <v>5.7000000000000002E-3</v>
      </c>
      <c r="F128" s="137">
        <f>VLOOKUP(B128,ZW_flex_premies[],VLOOKUP(VALUE(RIGHT($B$82,4)),Jaartal_kolomindex[],2,FALSE),FALSE)</f>
        <v>6.7000000000000002E-3</v>
      </c>
    </row>
    <row r="129" spans="2:6" s="138" customFormat="1" x14ac:dyDescent="0.2">
      <c r="B129" s="139" t="s">
        <v>114</v>
      </c>
      <c r="C129" s="140" t="s">
        <v>115</v>
      </c>
      <c r="D129" s="141"/>
      <c r="E129" s="165">
        <f>VLOOKUP(B129,WGA_totaal_premies[],VLOOKUP(VALUE(RIGHT($B$82,4)),Jaartal_kolomindex[],2,FALSE),FALSE)</f>
        <v>5.8999999999999999E-3</v>
      </c>
      <c r="F129" s="137">
        <f>VLOOKUP(B129,ZW_flex_premies[],VLOOKUP(VALUE(RIGHT($B$82,4)),Jaartal_kolomindex[],2,FALSE),FALSE)</f>
        <v>1.8E-3</v>
      </c>
    </row>
    <row r="130" spans="2:6" s="138" customFormat="1" x14ac:dyDescent="0.2">
      <c r="B130" s="139" t="s">
        <v>116</v>
      </c>
      <c r="C130" s="140" t="s">
        <v>117</v>
      </c>
      <c r="D130" s="141"/>
      <c r="E130" s="165">
        <f>VLOOKUP(B130,WGA_totaal_premies[],VLOOKUP(VALUE(RIGHT($B$82,4)),Jaartal_kolomindex[],2,FALSE),FALSE)</f>
        <v>1.21E-2</v>
      </c>
      <c r="F130" s="137">
        <f>VLOOKUP(B130,ZW_flex_premies[],VLOOKUP(VALUE(RIGHT($B$82,4)),Jaartal_kolomindex[],2,FALSE),FALSE)</f>
        <v>3.5000000000000001E-3</v>
      </c>
    </row>
    <row r="131" spans="2:6" s="138" customFormat="1" x14ac:dyDescent="0.2">
      <c r="B131" s="139" t="s">
        <v>118</v>
      </c>
      <c r="C131" s="140" t="s">
        <v>119</v>
      </c>
      <c r="D131" s="141"/>
      <c r="E131" s="165">
        <f>VLOOKUP(B131,WGA_totaal_premies[],VLOOKUP(VALUE(RIGHT($B$82,4)),Jaartal_kolomindex[],2,FALSE),FALSE)</f>
        <v>8.5000000000000006E-3</v>
      </c>
      <c r="F131" s="137">
        <f>VLOOKUP(B131,ZW_flex_premies[],VLOOKUP(VALUE(RIGHT($B$82,4)),Jaartal_kolomindex[],2,FALSE),FALSE)</f>
        <v>1.8E-3</v>
      </c>
    </row>
    <row r="132" spans="2:6" s="138" customFormat="1" x14ac:dyDescent="0.2">
      <c r="B132" s="139" t="s">
        <v>120</v>
      </c>
      <c r="C132" s="140" t="s">
        <v>121</v>
      </c>
      <c r="D132" s="141"/>
      <c r="E132" s="165">
        <f>VLOOKUP(B132,WGA_totaal_premies[],VLOOKUP(VALUE(RIGHT($B$82,4)),Jaartal_kolomindex[],2,FALSE),FALSE)</f>
        <v>7.1000000000000004E-3</v>
      </c>
      <c r="F132" s="137">
        <f>VLOOKUP(B132,ZW_flex_premies[],VLOOKUP(VALUE(RIGHT($B$82,4)),Jaartal_kolomindex[],2,FALSE),FALSE)</f>
        <v>3.5999999999999999E-3</v>
      </c>
    </row>
    <row r="133" spans="2:6" s="138" customFormat="1" x14ac:dyDescent="0.2">
      <c r="B133" s="139" t="s">
        <v>122</v>
      </c>
      <c r="C133" s="140" t="s">
        <v>123</v>
      </c>
      <c r="D133" s="141"/>
      <c r="E133" s="165">
        <f>VLOOKUP(B133,WGA_totaal_premies[],VLOOKUP(VALUE(RIGHT($B$82,4)),Jaartal_kolomindex[],2,FALSE),FALSE)</f>
        <v>6.1999999999999998E-3</v>
      </c>
      <c r="F133" s="137">
        <f>VLOOKUP(B133,ZW_flex_premies[],VLOOKUP(VALUE(RIGHT($B$82,4)),Jaartal_kolomindex[],2,FALSE),FALSE)</f>
        <v>6.1999999999999998E-3</v>
      </c>
    </row>
    <row r="134" spans="2:6" s="138" customFormat="1" x14ac:dyDescent="0.2">
      <c r="B134" s="139" t="s">
        <v>124</v>
      </c>
      <c r="C134" s="140" t="s">
        <v>125</v>
      </c>
      <c r="D134" s="141"/>
      <c r="E134" s="165">
        <f>VLOOKUP(B134,WGA_totaal_premies[],VLOOKUP(VALUE(RIGHT($B$82,4)),Jaartal_kolomindex[],2,FALSE),FALSE)</f>
        <v>1.15E-2</v>
      </c>
      <c r="F134" s="137">
        <f>VLOOKUP(B134,ZW_flex_premies[],VLOOKUP(VALUE(RIGHT($B$82,4)),Jaartal_kolomindex[],2,FALSE),FALSE)</f>
        <v>4.5900000000000003E-2</v>
      </c>
    </row>
    <row r="135" spans="2:6" s="138" customFormat="1" x14ac:dyDescent="0.2">
      <c r="B135" s="139" t="s">
        <v>126</v>
      </c>
      <c r="C135" s="140" t="s">
        <v>127</v>
      </c>
      <c r="D135" s="141"/>
      <c r="E135" s="165">
        <f>VLOOKUP(B135,WGA_totaal_premies[],VLOOKUP(VALUE(RIGHT($B$82,4)),Jaartal_kolomindex[],2,FALSE),FALSE)</f>
        <v>1.15E-2</v>
      </c>
      <c r="F135" s="137">
        <f>VLOOKUP(B135,ZW_flex_premies[],VLOOKUP(VALUE(RIGHT($B$82,4)),Jaartal_kolomindex[],2,FALSE),FALSE)</f>
        <v>1.0500000000000001E-2</v>
      </c>
    </row>
    <row r="136" spans="2:6" s="138" customFormat="1" x14ac:dyDescent="0.2">
      <c r="B136" s="139" t="s">
        <v>128</v>
      </c>
      <c r="C136" s="140" t="s">
        <v>129</v>
      </c>
      <c r="D136" s="141"/>
      <c r="E136" s="165">
        <f>VLOOKUP(B136,WGA_totaal_premies[],VLOOKUP(VALUE(RIGHT($B$82,4)),Jaartal_kolomindex[],2,FALSE),FALSE)</f>
        <v>6.3E-3</v>
      </c>
      <c r="F136" s="137">
        <f>VLOOKUP(B136,ZW_flex_premies[],VLOOKUP(VALUE(RIGHT($B$82,4)),Jaartal_kolomindex[],2,FALSE),FALSE)</f>
        <v>3.2000000000000002E-3</v>
      </c>
    </row>
    <row r="137" spans="2:6" s="138" customFormat="1" x14ac:dyDescent="0.2">
      <c r="B137" s="139" t="s">
        <v>130</v>
      </c>
      <c r="C137" s="140" t="s">
        <v>131</v>
      </c>
      <c r="D137" s="141"/>
      <c r="E137" s="165">
        <f>VLOOKUP(B137,WGA_totaal_premies[],VLOOKUP(VALUE(RIGHT($B$82,4)),Jaartal_kolomindex[],2,FALSE),FALSE)</f>
        <v>0.01</v>
      </c>
      <c r="F137" s="137">
        <f>VLOOKUP(B137,ZW_flex_premies[],VLOOKUP(VALUE(RIGHT($B$82,4)),Jaartal_kolomindex[],2,FALSE),FALSE)</f>
        <v>3.5999999999999999E-3</v>
      </c>
    </row>
    <row r="138" spans="2:6" s="138" customFormat="1" x14ac:dyDescent="0.2">
      <c r="B138" s="139" t="s">
        <v>132</v>
      </c>
      <c r="C138" s="140" t="s">
        <v>133</v>
      </c>
      <c r="D138" s="141"/>
      <c r="E138" s="165">
        <f>VLOOKUP(B138,WGA_totaal_premies[],VLOOKUP(VALUE(RIGHT($B$82,4)),Jaartal_kolomindex[],2,FALSE),FALSE)</f>
        <v>2.0799999999999999E-2</v>
      </c>
      <c r="F138" s="137">
        <f>VLOOKUP(B138,ZW_flex_premies[],VLOOKUP(VALUE(RIGHT($B$82,4)),Jaartal_kolomindex[],2,FALSE),FALSE)</f>
        <v>4.7000000000000002E-3</v>
      </c>
    </row>
    <row r="139" spans="2:6" s="138" customFormat="1" x14ac:dyDescent="0.2">
      <c r="B139" s="139" t="s">
        <v>134</v>
      </c>
      <c r="C139" s="140" t="s">
        <v>135</v>
      </c>
      <c r="D139" s="141"/>
      <c r="E139" s="165">
        <f>VLOOKUP(B139,WGA_totaal_premies[],VLOOKUP(VALUE(RIGHT($B$82,4)),Jaartal_kolomindex[],2,FALSE),FALSE)</f>
        <v>2.7400000000000001E-2</v>
      </c>
      <c r="F139" s="137">
        <f>VLOOKUP(B139,ZW_flex_premies[],VLOOKUP(VALUE(RIGHT($B$82,4)),Jaartal_kolomindex[],2,FALSE),FALSE)</f>
        <v>3.5999999999999999E-3</v>
      </c>
    </row>
    <row r="140" spans="2:6" s="138" customFormat="1" x14ac:dyDescent="0.2">
      <c r="B140" s="139" t="s">
        <v>136</v>
      </c>
      <c r="C140" s="140" t="s">
        <v>137</v>
      </c>
      <c r="D140" s="141"/>
      <c r="E140" s="165">
        <f>VLOOKUP(B140,WGA_totaal_premies[],VLOOKUP(VALUE(RIGHT($B$82,4)),Jaartal_kolomindex[],2,FALSE),FALSE)</f>
        <v>1.77E-2</v>
      </c>
      <c r="F140" s="137">
        <f>VLOOKUP(B140,ZW_flex_premies[],VLOOKUP(VALUE(RIGHT($B$82,4)),Jaartal_kolomindex[],2,FALSE),FALSE)</f>
        <v>3.8E-3</v>
      </c>
    </row>
    <row r="141" spans="2:6" s="138" customFormat="1" x14ac:dyDescent="0.2">
      <c r="B141" s="139" t="s">
        <v>138</v>
      </c>
      <c r="C141" s="140" t="s">
        <v>139</v>
      </c>
      <c r="D141" s="141"/>
      <c r="E141" s="165">
        <f>VLOOKUP(B141,WGA_totaal_premies[],VLOOKUP(VALUE(RIGHT($B$82,4)),Jaartal_kolomindex[],2,FALSE),FALSE)</f>
        <v>1.2200000000000001E-2</v>
      </c>
      <c r="F141" s="137">
        <f>VLOOKUP(B141,ZW_flex_premies[],VLOOKUP(VALUE(RIGHT($B$82,4)),Jaartal_kolomindex[],2,FALSE),FALSE)</f>
        <v>2.0000000000000001E-4</v>
      </c>
    </row>
    <row r="142" spans="2:6" s="138" customFormat="1" x14ac:dyDescent="0.2">
      <c r="B142" s="139" t="s">
        <v>140</v>
      </c>
      <c r="C142" s="140" t="s">
        <v>141</v>
      </c>
      <c r="D142" s="141"/>
      <c r="E142" s="165">
        <f>VLOOKUP(B142,WGA_totaal_premies[],VLOOKUP(VALUE(RIGHT($B$82,4)),Jaartal_kolomindex[],2,FALSE),FALSE)</f>
        <v>2.2599999999999999E-2</v>
      </c>
      <c r="F142" s="137">
        <f>VLOOKUP(B142,ZW_flex_premies[],VLOOKUP(VALUE(RIGHT($B$82,4)),Jaartal_kolomindex[],2,FALSE),FALSE)</f>
        <v>5.5999999999999999E-3</v>
      </c>
    </row>
    <row r="143" spans="2:6" s="138" customFormat="1" x14ac:dyDescent="0.2">
      <c r="B143" s="139" t="s">
        <v>142</v>
      </c>
      <c r="C143" s="140" t="s">
        <v>143</v>
      </c>
      <c r="D143" s="141"/>
      <c r="E143" s="165">
        <f>VLOOKUP(B143,WGA_totaal_premies[],VLOOKUP(VALUE(RIGHT($B$82,4)),Jaartal_kolomindex[],2,FALSE),FALSE)</f>
        <v>9.1999999999999998E-3</v>
      </c>
      <c r="F143" s="137">
        <f>VLOOKUP(B143,ZW_flex_premies[],VLOOKUP(VALUE(RIGHT($B$82,4)),Jaartal_kolomindex[],2,FALSE),FALSE)</f>
        <v>1E-3</v>
      </c>
    </row>
    <row r="144" spans="2:6" s="138" customFormat="1" x14ac:dyDescent="0.2">
      <c r="B144" s="139" t="s">
        <v>144</v>
      </c>
      <c r="C144" s="140" t="s">
        <v>145</v>
      </c>
      <c r="D144" s="141"/>
      <c r="E144" s="165">
        <f>VLOOKUP(B144,WGA_totaal_premies[],VLOOKUP(VALUE(RIGHT($B$82,4)),Jaartal_kolomindex[],2,FALSE),FALSE)</f>
        <v>8.0999999999999996E-3</v>
      </c>
      <c r="F144" s="137">
        <f>VLOOKUP(B144,ZW_flex_premies[],VLOOKUP(VALUE(RIGHT($B$82,4)),Jaartal_kolomindex[],2,FALSE),FALSE)</f>
        <v>1E-4</v>
      </c>
    </row>
    <row r="145" spans="2:6" s="138" customFormat="1" x14ac:dyDescent="0.2">
      <c r="B145" s="139" t="s">
        <v>146</v>
      </c>
      <c r="C145" s="140" t="s">
        <v>147</v>
      </c>
      <c r="D145" s="141"/>
      <c r="E145" s="165">
        <f>VLOOKUP(B145,WGA_totaal_premies[],VLOOKUP(VALUE(RIGHT($B$82,4)),Jaartal_kolomindex[],2,FALSE),FALSE)</f>
        <v>0</v>
      </c>
      <c r="F145" s="137">
        <f>VLOOKUP(B145,ZW_flex_premies[],VLOOKUP(VALUE(RIGHT($B$82,4)),Jaartal_kolomindex[],2,FALSE),FALSE)</f>
        <v>2.9999999999999997E-4</v>
      </c>
    </row>
    <row r="146" spans="2:6" s="138" customFormat="1" x14ac:dyDescent="0.2">
      <c r="B146" s="139" t="s">
        <v>148</v>
      </c>
      <c r="C146" s="140" t="s">
        <v>149</v>
      </c>
      <c r="D146" s="141"/>
      <c r="E146" s="165">
        <f>VLOOKUP(B146,WGA_totaal_premies[],VLOOKUP(VALUE(RIGHT($B$82,4)),Jaartal_kolomindex[],2,FALSE),FALSE)</f>
        <v>8.0999999999999996E-3</v>
      </c>
      <c r="F146" s="137">
        <f>VLOOKUP(B146,ZW_flex_premies[],VLOOKUP(VALUE(RIGHT($B$82,4)),Jaartal_kolomindex[],2,FALSE),FALSE)</f>
        <v>5.0000000000000001E-4</v>
      </c>
    </row>
    <row r="147" spans="2:6" s="138" customFormat="1" x14ac:dyDescent="0.2">
      <c r="B147" s="139" t="s">
        <v>150</v>
      </c>
      <c r="C147" s="140" t="s">
        <v>151</v>
      </c>
      <c r="D147" s="141"/>
      <c r="E147" s="165">
        <f>VLOOKUP(B147,WGA_totaal_premies[],VLOOKUP(VALUE(RIGHT($B$82,4)),Jaartal_kolomindex[],2,FALSE),FALSE)</f>
        <v>2.8999999999999998E-3</v>
      </c>
      <c r="F147" s="137">
        <f>VLOOKUP(B147,ZW_flex_premies[],VLOOKUP(VALUE(RIGHT($B$82,4)),Jaartal_kolomindex[],2,FALSE),FALSE)</f>
        <v>1E-3</v>
      </c>
    </row>
    <row r="148" spans="2:6" s="138" customFormat="1" x14ac:dyDescent="0.2">
      <c r="B148" s="139" t="s">
        <v>152</v>
      </c>
      <c r="C148" s="140" t="s">
        <v>153</v>
      </c>
      <c r="D148" s="141"/>
      <c r="E148" s="165">
        <f>VLOOKUP(B148,WGA_totaal_premies[],VLOOKUP(VALUE(RIGHT($B$82,4)),Jaartal_kolomindex[],2,FALSE),FALSE)</f>
        <v>1.0800000000000001E-2</v>
      </c>
      <c r="F148" s="137">
        <f>VLOOKUP(B148,ZW_flex_premies[],VLOOKUP(VALUE(RIGHT($B$82,4)),Jaartal_kolomindex[],2,FALSE),FALSE)</f>
        <v>2.2000000000000001E-3</v>
      </c>
    </row>
    <row r="149" spans="2:6" s="138" customFormat="1" x14ac:dyDescent="0.2">
      <c r="B149" s="139" t="s">
        <v>154</v>
      </c>
      <c r="C149" s="140" t="s">
        <v>155</v>
      </c>
      <c r="D149" s="141"/>
      <c r="E149" s="165">
        <f>VLOOKUP(B149,WGA_totaal_premies[],VLOOKUP(VALUE(RIGHT($B$82,4)),Jaartal_kolomindex[],2,FALSE),FALSE)</f>
        <v>3.2899999999999999E-2</v>
      </c>
      <c r="F149" s="137">
        <f>VLOOKUP(B149,ZW_flex_premies[],VLOOKUP(VALUE(RIGHT($B$82,4)),Jaartal_kolomindex[],2,FALSE),FALSE)</f>
        <v>1.1900000000000001E-2</v>
      </c>
    </row>
    <row r="150" spans="2:6" s="138" customFormat="1" x14ac:dyDescent="0.2">
      <c r="B150" s="139" t="s">
        <v>156</v>
      </c>
      <c r="C150" s="140" t="s">
        <v>157</v>
      </c>
      <c r="D150" s="141"/>
      <c r="E150" s="165">
        <f>VLOOKUP(B150,WGA_totaal_premies[],VLOOKUP(VALUE(RIGHT($B$82,4)),Jaartal_kolomindex[],2,FALSE),FALSE)</f>
        <v>1.1299999999999999E-2</v>
      </c>
      <c r="F150" s="137">
        <f>VLOOKUP(B150,ZW_flex_premies[],VLOOKUP(VALUE(RIGHT($B$82,4)),Jaartal_kolomindex[],2,FALSE),FALSE)</f>
        <v>1.1999999999999999E-3</v>
      </c>
    </row>
    <row r="151" spans="2:6" s="138" customFormat="1" x14ac:dyDescent="0.2">
      <c r="B151" s="139" t="s">
        <v>158</v>
      </c>
      <c r="C151" s="140" t="s">
        <v>159</v>
      </c>
      <c r="D151" s="141"/>
      <c r="E151" s="165">
        <f>VLOOKUP(B151,WGA_totaal_premies[],VLOOKUP(VALUE(RIGHT($B$82,4)),Jaartal_kolomindex[],2,FALSE),FALSE)</f>
        <v>6.8999999999999999E-3</v>
      </c>
      <c r="F151" s="137">
        <f>VLOOKUP(B151,ZW_flex_premies[],VLOOKUP(VALUE(RIGHT($B$82,4)),Jaartal_kolomindex[],2,FALSE),FALSE)</f>
        <v>3.0000000000000001E-3</v>
      </c>
    </row>
    <row r="152" spans="2:6" x14ac:dyDescent="0.2">
      <c r="B152" s="144"/>
      <c r="C152" s="145"/>
      <c r="D152" s="146"/>
      <c r="E152" s="147"/>
      <c r="F152" s="148"/>
    </row>
    <row r="153" spans="2:6" collapsed="1" x14ac:dyDescent="0.2"/>
    <row r="154" spans="2:6" s="93" customFormat="1" ht="18" customHeight="1" x14ac:dyDescent="0.2">
      <c r="B154" s="281" t="str">
        <f>"Sectorale premies "&amp;Hulpsheet!$B$2-1</f>
        <v>Sectorale premies 2017</v>
      </c>
      <c r="C154" s="282"/>
      <c r="D154" s="282"/>
      <c r="E154" s="282"/>
      <c r="F154" s="283"/>
    </row>
    <row r="155" spans="2:6" x14ac:dyDescent="0.2">
      <c r="B155" s="129"/>
      <c r="C155" s="101"/>
      <c r="D155" s="130"/>
      <c r="E155" s="9"/>
      <c r="F155" s="8"/>
    </row>
    <row r="156" spans="2:6" s="260" customFormat="1" ht="18" customHeight="1" x14ac:dyDescent="0.3">
      <c r="B156" s="255" t="s">
        <v>24</v>
      </c>
      <c r="C156" s="258"/>
      <c r="D156" s="259"/>
      <c r="E156" s="256" t="s">
        <v>235</v>
      </c>
      <c r="F156" s="257" t="s">
        <v>25</v>
      </c>
    </row>
    <row r="157" spans="2:6" x14ac:dyDescent="0.2">
      <c r="B157" s="133" t="s">
        <v>26</v>
      </c>
      <c r="C157" s="134" t="s">
        <v>27</v>
      </c>
      <c r="D157" s="135"/>
      <c r="E157" s="165">
        <f>VLOOKUP(B157,WGA_totaal_premies[],VLOOKUP(VALUE(RIGHT($B$154,4)),Jaartal_kolomindex[],2,FALSE),FALSE)</f>
        <v>7.0000000000000001E-3</v>
      </c>
      <c r="F157" s="137">
        <f>VLOOKUP(B157,ZW_flex_premies[],VLOOKUP(VALUE(RIGHT($B$154,4)),Jaartal_kolomindex[],2,FALSE),FALSE)</f>
        <v>2.7000000000000001E-3</v>
      </c>
    </row>
    <row r="158" spans="2:6" x14ac:dyDescent="0.2">
      <c r="B158" s="139" t="s">
        <v>28</v>
      </c>
      <c r="C158" s="140" t="s">
        <v>29</v>
      </c>
      <c r="D158" s="141"/>
      <c r="E158" s="165">
        <f>VLOOKUP(B158,WGA_totaal_premies[],VLOOKUP(VALUE(RIGHT($B$154,4)),Jaartal_kolomindex[],2,FALSE),FALSE)</f>
        <v>6.0000000000000001E-3</v>
      </c>
      <c r="F158" s="137">
        <f>VLOOKUP(B158,ZW_flex_premies[],VLOOKUP(VALUE(RIGHT($B$154,4)),Jaartal_kolomindex[],2,FALSE),FALSE)</f>
        <v>3.0999999999999999E-3</v>
      </c>
    </row>
    <row r="159" spans="2:6" x14ac:dyDescent="0.2">
      <c r="B159" s="139" t="s">
        <v>30</v>
      </c>
      <c r="C159" s="140" t="s">
        <v>31</v>
      </c>
      <c r="D159" s="141"/>
      <c r="E159" s="165">
        <f>VLOOKUP(B159,WGA_totaal_premies[],VLOOKUP(VALUE(RIGHT($B$154,4)),Jaartal_kolomindex[],2,FALSE),FALSE)</f>
        <v>1.11E-2</v>
      </c>
      <c r="F159" s="137">
        <f>VLOOKUP(B159,ZW_flex_premies[],VLOOKUP(VALUE(RIGHT($B$154,4)),Jaartal_kolomindex[],2,FALSE),FALSE)</f>
        <v>3.3999999999999998E-3</v>
      </c>
    </row>
    <row r="160" spans="2:6" x14ac:dyDescent="0.2">
      <c r="B160" s="139" t="s">
        <v>32</v>
      </c>
      <c r="C160" s="140" t="s">
        <v>33</v>
      </c>
      <c r="D160" s="141"/>
      <c r="E160" s="165">
        <f>VLOOKUP(B160,WGA_totaal_premies[],VLOOKUP(VALUE(RIGHT($B$154,4)),Jaartal_kolomindex[],2,FALSE),FALSE)</f>
        <v>4.7999999999999996E-3</v>
      </c>
      <c r="F160" s="137">
        <f>VLOOKUP(B160,ZW_flex_premies[],VLOOKUP(VALUE(RIGHT($B$154,4)),Jaartal_kolomindex[],2,FALSE),FALSE)</f>
        <v>5.9999999999999995E-4</v>
      </c>
    </row>
    <row r="161" spans="2:6" x14ac:dyDescent="0.2">
      <c r="B161" s="139" t="s">
        <v>34</v>
      </c>
      <c r="C161" s="140" t="s">
        <v>35</v>
      </c>
      <c r="D161" s="141"/>
      <c r="E161" s="165">
        <f>VLOOKUP(B161,WGA_totaal_premies[],VLOOKUP(VALUE(RIGHT($B$154,4)),Jaartal_kolomindex[],2,FALSE),FALSE)</f>
        <v>1.35E-2</v>
      </c>
      <c r="F161" s="137">
        <f>VLOOKUP(B161,ZW_flex_premies[],VLOOKUP(VALUE(RIGHT($B$154,4)),Jaartal_kolomindex[],2,FALSE),FALSE)</f>
        <v>2.5999999999999999E-3</v>
      </c>
    </row>
    <row r="162" spans="2:6" x14ac:dyDescent="0.2">
      <c r="B162" s="139" t="s">
        <v>36</v>
      </c>
      <c r="C162" s="140" t="s">
        <v>37</v>
      </c>
      <c r="D162" s="141"/>
      <c r="E162" s="165">
        <f>VLOOKUP(B162,WGA_totaal_premies[],VLOOKUP(VALUE(RIGHT($B$154,4)),Jaartal_kolomindex[],2,FALSE),FALSE)</f>
        <v>1.12E-2</v>
      </c>
      <c r="F162" s="137">
        <f>VLOOKUP(B162,ZW_flex_premies[],VLOOKUP(VALUE(RIGHT($B$154,4)),Jaartal_kolomindex[],2,FALSE),FALSE)</f>
        <v>2E-3</v>
      </c>
    </row>
    <row r="163" spans="2:6" x14ac:dyDescent="0.2">
      <c r="B163" s="139" t="s">
        <v>38</v>
      </c>
      <c r="C163" s="140" t="s">
        <v>39</v>
      </c>
      <c r="D163" s="141"/>
      <c r="E163" s="165">
        <f>VLOOKUP(B163,WGA_totaal_premies[],VLOOKUP(VALUE(RIGHT($B$154,4)),Jaartal_kolomindex[],2,FALSE),FALSE)</f>
        <v>8.6999999999999994E-3</v>
      </c>
      <c r="F163" s="137">
        <f>VLOOKUP(B163,ZW_flex_premies[],VLOOKUP(VALUE(RIGHT($B$154,4)),Jaartal_kolomindex[],2,FALSE),FALSE)</f>
        <v>3.7000000000000002E-3</v>
      </c>
    </row>
    <row r="164" spans="2:6" x14ac:dyDescent="0.2">
      <c r="B164" s="139" t="s">
        <v>40</v>
      </c>
      <c r="C164" s="140" t="s">
        <v>41</v>
      </c>
      <c r="D164" s="141"/>
      <c r="E164" s="165">
        <f>VLOOKUP(B164,WGA_totaal_premies[],VLOOKUP(VALUE(RIGHT($B$154,4)),Jaartal_kolomindex[],2,FALSE),FALSE)</f>
        <v>1.14E-2</v>
      </c>
      <c r="F164" s="137">
        <f>VLOOKUP(B164,ZW_flex_premies[],VLOOKUP(VALUE(RIGHT($B$154,4)),Jaartal_kolomindex[],2,FALSE),FALSE)</f>
        <v>2.5999999999999999E-3</v>
      </c>
    </row>
    <row r="165" spans="2:6" x14ac:dyDescent="0.2">
      <c r="B165" s="139" t="s">
        <v>42</v>
      </c>
      <c r="C165" s="140" t="s">
        <v>43</v>
      </c>
      <c r="D165" s="141"/>
      <c r="E165" s="165">
        <f>VLOOKUP(B165,WGA_totaal_premies[],VLOOKUP(VALUE(RIGHT($B$154,4)),Jaartal_kolomindex[],2,FALSE),FALSE)</f>
        <v>7.4000000000000003E-3</v>
      </c>
      <c r="F165" s="137">
        <f>VLOOKUP(B165,ZW_flex_premies[],VLOOKUP(VALUE(RIGHT($B$154,4)),Jaartal_kolomindex[],2,FALSE),FALSE)</f>
        <v>4.4000000000000003E-3</v>
      </c>
    </row>
    <row r="166" spans="2:6" x14ac:dyDescent="0.2">
      <c r="B166" s="139" t="s">
        <v>44</v>
      </c>
      <c r="C166" s="140" t="s">
        <v>45</v>
      </c>
      <c r="D166" s="141"/>
      <c r="E166" s="165">
        <f>VLOOKUP(B166,WGA_totaal_premies[],VLOOKUP(VALUE(RIGHT($B$154,4)),Jaartal_kolomindex[],2,FALSE),FALSE)</f>
        <v>4.7000000000000002E-3</v>
      </c>
      <c r="F166" s="137">
        <f>VLOOKUP(B166,ZW_flex_premies[],VLOOKUP(VALUE(RIGHT($B$154,4)),Jaartal_kolomindex[],2,FALSE),FALSE)</f>
        <v>2.3999999999999998E-3</v>
      </c>
    </row>
    <row r="167" spans="2:6" x14ac:dyDescent="0.2">
      <c r="B167" s="139" t="s">
        <v>46</v>
      </c>
      <c r="C167" s="140" t="s">
        <v>47</v>
      </c>
      <c r="D167" s="141"/>
      <c r="E167" s="165">
        <f>VLOOKUP(B167,WGA_totaal_premies[],VLOOKUP(VALUE(RIGHT($B$154,4)),Jaartal_kolomindex[],2,FALSE),FALSE)</f>
        <v>4.1000000000000003E-3</v>
      </c>
      <c r="F167" s="137">
        <f>VLOOKUP(B167,ZW_flex_premies[],VLOOKUP(VALUE(RIGHT($B$154,4)),Jaartal_kolomindex[],2,FALSE),FALSE)</f>
        <v>3.7000000000000002E-3</v>
      </c>
    </row>
    <row r="168" spans="2:6" x14ac:dyDescent="0.2">
      <c r="B168" s="139" t="s">
        <v>48</v>
      </c>
      <c r="C168" s="140" t="s">
        <v>49</v>
      </c>
      <c r="D168" s="141"/>
      <c r="E168" s="165">
        <f>VLOOKUP(B168,WGA_totaal_premies[],VLOOKUP(VALUE(RIGHT($B$154,4)),Jaartal_kolomindex[],2,FALSE),FALSE)</f>
        <v>8.2000000000000007E-3</v>
      </c>
      <c r="F168" s="137">
        <f>VLOOKUP(B168,ZW_flex_premies[],VLOOKUP(VALUE(RIGHT($B$154,4)),Jaartal_kolomindex[],2,FALSE),FALSE)</f>
        <v>3.3E-3</v>
      </c>
    </row>
    <row r="169" spans="2:6" x14ac:dyDescent="0.2">
      <c r="B169" s="139" t="s">
        <v>50</v>
      </c>
      <c r="C169" s="140" t="s">
        <v>51</v>
      </c>
      <c r="D169" s="141"/>
      <c r="E169" s="165">
        <f>VLOOKUP(B169,WGA_totaal_premies[],VLOOKUP(VALUE(RIGHT($B$154,4)),Jaartal_kolomindex[],2,FALSE),FALSE)</f>
        <v>1.32E-2</v>
      </c>
      <c r="F169" s="137">
        <f>VLOOKUP(B169,ZW_flex_premies[],VLOOKUP(VALUE(RIGHT($B$154,4)),Jaartal_kolomindex[],2,FALSE),FALSE)</f>
        <v>4.0000000000000001E-3</v>
      </c>
    </row>
    <row r="170" spans="2:6" x14ac:dyDescent="0.2">
      <c r="B170" s="139" t="s">
        <v>52</v>
      </c>
      <c r="C170" s="140" t="s">
        <v>53</v>
      </c>
      <c r="D170" s="141"/>
      <c r="E170" s="165">
        <f>VLOOKUP(B170,WGA_totaal_premies[],VLOOKUP(VALUE(RIGHT($B$154,4)),Jaartal_kolomindex[],2,FALSE),FALSE)</f>
        <v>1.1900000000000001E-2</v>
      </c>
      <c r="F170" s="137">
        <f>VLOOKUP(B170,ZW_flex_premies[],VLOOKUP(VALUE(RIGHT($B$154,4)),Jaartal_kolomindex[],2,FALSE),FALSE)</f>
        <v>3.5000000000000001E-3</v>
      </c>
    </row>
    <row r="171" spans="2:6" x14ac:dyDescent="0.2">
      <c r="B171" s="139" t="s">
        <v>54</v>
      </c>
      <c r="C171" s="140" t="s">
        <v>55</v>
      </c>
      <c r="D171" s="141"/>
      <c r="E171" s="165">
        <f>VLOOKUP(B171,WGA_totaal_premies[],VLOOKUP(VALUE(RIGHT($B$154,4)),Jaartal_kolomindex[],2,FALSE),FALSE)</f>
        <v>1.47E-2</v>
      </c>
      <c r="F171" s="137">
        <f>VLOOKUP(B171,ZW_flex_premies[],VLOOKUP(VALUE(RIGHT($B$154,4)),Jaartal_kolomindex[],2,FALSE),FALSE)</f>
        <v>4.7000000000000002E-3</v>
      </c>
    </row>
    <row r="172" spans="2:6" x14ac:dyDescent="0.2">
      <c r="B172" s="139" t="s">
        <v>56</v>
      </c>
      <c r="C172" s="140" t="s">
        <v>57</v>
      </c>
      <c r="D172" s="141"/>
      <c r="E172" s="165">
        <f>VLOOKUP(B172,WGA_totaal_premies[],VLOOKUP(VALUE(RIGHT($B$154,4)),Jaartal_kolomindex[],2,FALSE),FALSE)</f>
        <v>9.4999999999999998E-3</v>
      </c>
      <c r="F172" s="137">
        <f>VLOOKUP(B172,ZW_flex_premies[],VLOOKUP(VALUE(RIGHT($B$154,4)),Jaartal_kolomindex[],2,FALSE),FALSE)</f>
        <v>5.3E-3</v>
      </c>
    </row>
    <row r="173" spans="2:6" x14ac:dyDescent="0.2">
      <c r="B173" s="139" t="s">
        <v>58</v>
      </c>
      <c r="C173" s="140" t="s">
        <v>59</v>
      </c>
      <c r="D173" s="141"/>
      <c r="E173" s="165">
        <f>VLOOKUP(B173,WGA_totaal_premies[],VLOOKUP(VALUE(RIGHT($B$154,4)),Jaartal_kolomindex[],2,FALSE),FALSE)</f>
        <v>8.6999999999999994E-3</v>
      </c>
      <c r="F173" s="137">
        <f>VLOOKUP(B173,ZW_flex_premies[],VLOOKUP(VALUE(RIGHT($B$154,4)),Jaartal_kolomindex[],2,FALSE),FALSE)</f>
        <v>4.4000000000000003E-3</v>
      </c>
    </row>
    <row r="174" spans="2:6" x14ac:dyDescent="0.2">
      <c r="B174" s="139" t="s">
        <v>60</v>
      </c>
      <c r="C174" s="140" t="s">
        <v>61</v>
      </c>
      <c r="D174" s="141"/>
      <c r="E174" s="165">
        <f>VLOOKUP(B174,WGA_totaal_premies[],VLOOKUP(VALUE(RIGHT($B$154,4)),Jaartal_kolomindex[],2,FALSE),FALSE)</f>
        <v>2.2700000000000001E-2</v>
      </c>
      <c r="F174" s="137">
        <f>VLOOKUP(B174,ZW_flex_premies[],VLOOKUP(VALUE(RIGHT($B$154,4)),Jaartal_kolomindex[],2,FALSE),FALSE)</f>
        <v>7.4999999999999997E-3</v>
      </c>
    </row>
    <row r="175" spans="2:6" x14ac:dyDescent="0.2">
      <c r="B175" s="139" t="s">
        <v>62</v>
      </c>
      <c r="C175" s="140" t="s">
        <v>63</v>
      </c>
      <c r="D175" s="141"/>
      <c r="E175" s="165">
        <f>VLOOKUP(B175,WGA_totaal_premies[],VLOOKUP(VALUE(RIGHT($B$154,4)),Jaartal_kolomindex[],2,FALSE),FALSE)</f>
        <v>8.6E-3</v>
      </c>
      <c r="F175" s="137">
        <f>VLOOKUP(B175,ZW_flex_premies[],VLOOKUP(VALUE(RIGHT($B$154,4)),Jaartal_kolomindex[],2,FALSE),FALSE)</f>
        <v>3.3E-3</v>
      </c>
    </row>
    <row r="176" spans="2:6" x14ac:dyDescent="0.2">
      <c r="B176" s="139" t="s">
        <v>64</v>
      </c>
      <c r="C176" s="140" t="s">
        <v>65</v>
      </c>
      <c r="D176" s="141"/>
      <c r="E176" s="165">
        <f>VLOOKUP(B176,WGA_totaal_premies[],VLOOKUP(VALUE(RIGHT($B$154,4)),Jaartal_kolomindex[],2,FALSE),FALSE)</f>
        <v>6.6E-3</v>
      </c>
      <c r="F176" s="137">
        <f>VLOOKUP(B176,ZW_flex_premies[],VLOOKUP(VALUE(RIGHT($B$154,4)),Jaartal_kolomindex[],2,FALSE),FALSE)</f>
        <v>7.3000000000000001E-3</v>
      </c>
    </row>
    <row r="177" spans="2:6" x14ac:dyDescent="0.2">
      <c r="B177" s="139" t="s">
        <v>66</v>
      </c>
      <c r="C177" s="140" t="s">
        <v>67</v>
      </c>
      <c r="D177" s="141"/>
      <c r="E177" s="165">
        <f>VLOOKUP(B177,WGA_totaal_premies[],VLOOKUP(VALUE(RIGHT($B$154,4)),Jaartal_kolomindex[],2,FALSE),FALSE)</f>
        <v>7.1999999999999998E-3</v>
      </c>
      <c r="F177" s="137">
        <f>VLOOKUP(B177,ZW_flex_premies[],VLOOKUP(VALUE(RIGHT($B$154,4)),Jaartal_kolomindex[],2,FALSE),FALSE)</f>
        <v>9.1000000000000004E-3</v>
      </c>
    </row>
    <row r="178" spans="2:6" x14ac:dyDescent="0.2">
      <c r="B178" s="139" t="s">
        <v>68</v>
      </c>
      <c r="C178" s="140" t="s">
        <v>69</v>
      </c>
      <c r="D178" s="141"/>
      <c r="E178" s="165">
        <f>VLOOKUP(B178,WGA_totaal_premies[],VLOOKUP(VALUE(RIGHT($B$154,4)),Jaartal_kolomindex[],2,FALSE),FALSE)</f>
        <v>5.4999999999999997E-3</v>
      </c>
      <c r="F178" s="137">
        <f>VLOOKUP(B178,ZW_flex_premies[],VLOOKUP(VALUE(RIGHT($B$154,4)),Jaartal_kolomindex[],2,FALSE),FALSE)</f>
        <v>4.0000000000000001E-3</v>
      </c>
    </row>
    <row r="179" spans="2:6" x14ac:dyDescent="0.2">
      <c r="B179" s="139" t="s">
        <v>70</v>
      </c>
      <c r="C179" s="140" t="s">
        <v>71</v>
      </c>
      <c r="D179" s="141"/>
      <c r="E179" s="165">
        <f>VLOOKUP(B179,WGA_totaal_premies[],VLOOKUP(VALUE(RIGHT($B$154,4)),Jaartal_kolomindex[],2,FALSE),FALSE)</f>
        <v>5.8999999999999999E-3</v>
      </c>
      <c r="F179" s="137">
        <f>VLOOKUP(B179,ZW_flex_premies[],VLOOKUP(VALUE(RIGHT($B$154,4)),Jaartal_kolomindex[],2,FALSE),FALSE)</f>
        <v>2.0999999999999999E-3</v>
      </c>
    </row>
    <row r="180" spans="2:6" x14ac:dyDescent="0.2">
      <c r="B180" s="139" t="s">
        <v>72</v>
      </c>
      <c r="C180" s="140" t="s">
        <v>73</v>
      </c>
      <c r="D180" s="141"/>
      <c r="E180" s="165">
        <f>VLOOKUP(B180,WGA_totaal_premies[],VLOOKUP(VALUE(RIGHT($B$154,4)),Jaartal_kolomindex[],2,FALSE),FALSE)</f>
        <v>4.5999999999999999E-3</v>
      </c>
      <c r="F180" s="137">
        <f>VLOOKUP(B180,ZW_flex_premies[],VLOOKUP(VALUE(RIGHT($B$154,4)),Jaartal_kolomindex[],2,FALSE),FALSE)</f>
        <v>4.4000000000000003E-3</v>
      </c>
    </row>
    <row r="181" spans="2:6" x14ac:dyDescent="0.2">
      <c r="B181" s="139" t="s">
        <v>74</v>
      </c>
      <c r="C181" s="140" t="s">
        <v>75</v>
      </c>
      <c r="D181" s="141"/>
      <c r="E181" s="165">
        <f>VLOOKUP(B181,WGA_totaal_premies[],VLOOKUP(VALUE(RIGHT($B$154,4)),Jaartal_kolomindex[],2,FALSE),FALSE)</f>
        <v>1.6400000000000001E-2</v>
      </c>
      <c r="F181" s="137">
        <f>VLOOKUP(B181,ZW_flex_premies[],VLOOKUP(VALUE(RIGHT($B$154,4)),Jaartal_kolomindex[],2,FALSE),FALSE)</f>
        <v>4.7000000000000002E-3</v>
      </c>
    </row>
    <row r="182" spans="2:6" x14ac:dyDescent="0.2">
      <c r="B182" s="139" t="s">
        <v>76</v>
      </c>
      <c r="C182" s="140" t="s">
        <v>77</v>
      </c>
      <c r="D182" s="141"/>
      <c r="E182" s="165">
        <f>VLOOKUP(B182,WGA_totaal_premies[],VLOOKUP(VALUE(RIGHT($B$154,4)),Jaartal_kolomindex[],2,FALSE),FALSE)</f>
        <v>8.5000000000000006E-3</v>
      </c>
      <c r="F182" s="137">
        <f>VLOOKUP(B182,ZW_flex_premies[],VLOOKUP(VALUE(RIGHT($B$154,4)),Jaartal_kolomindex[],2,FALSE),FALSE)</f>
        <v>4.7000000000000002E-3</v>
      </c>
    </row>
    <row r="183" spans="2:6" x14ac:dyDescent="0.2">
      <c r="B183" s="139" t="s">
        <v>78</v>
      </c>
      <c r="C183" s="140" t="s">
        <v>79</v>
      </c>
      <c r="D183" s="141"/>
      <c r="E183" s="165">
        <f>VLOOKUP(B183,WGA_totaal_premies[],VLOOKUP(VALUE(RIGHT($B$154,4)),Jaartal_kolomindex[],2,FALSE),FALSE)</f>
        <v>3.7000000000000002E-3</v>
      </c>
      <c r="F183" s="137">
        <f>VLOOKUP(B183,ZW_flex_premies[],VLOOKUP(VALUE(RIGHT($B$154,4)),Jaartal_kolomindex[],2,FALSE),FALSE)</f>
        <v>3.7000000000000002E-3</v>
      </c>
    </row>
    <row r="184" spans="2:6" x14ac:dyDescent="0.2">
      <c r="B184" s="139" t="s">
        <v>80</v>
      </c>
      <c r="C184" s="140" t="s">
        <v>81</v>
      </c>
      <c r="D184" s="141"/>
      <c r="E184" s="165">
        <f>VLOOKUP(B184,WGA_totaal_premies[],VLOOKUP(VALUE(RIGHT($B$154,4)),Jaartal_kolomindex[],2,FALSE),FALSE)</f>
        <v>1.78E-2</v>
      </c>
      <c r="F184" s="137">
        <f>VLOOKUP(B184,ZW_flex_premies[],VLOOKUP(VALUE(RIGHT($B$154,4)),Jaartal_kolomindex[],2,FALSE),FALSE)</f>
        <v>1.5100000000000001E-2</v>
      </c>
    </row>
    <row r="185" spans="2:6" x14ac:dyDescent="0.2">
      <c r="B185" s="139" t="s">
        <v>82</v>
      </c>
      <c r="C185" s="140" t="s">
        <v>83</v>
      </c>
      <c r="D185" s="141"/>
      <c r="E185" s="165">
        <f>VLOOKUP(B185,WGA_totaal_premies[],VLOOKUP(VALUE(RIGHT($B$154,4)),Jaartal_kolomindex[],2,FALSE),FALSE)</f>
        <v>4.4999999999999997E-3</v>
      </c>
      <c r="F185" s="137">
        <f>VLOOKUP(B185,ZW_flex_premies[],VLOOKUP(VALUE(RIGHT($B$154,4)),Jaartal_kolomindex[],2,FALSE),FALSE)</f>
        <v>6.1999999999999998E-3</v>
      </c>
    </row>
    <row r="186" spans="2:6" x14ac:dyDescent="0.2">
      <c r="B186" s="139" t="s">
        <v>84</v>
      </c>
      <c r="C186" s="140" t="s">
        <v>85</v>
      </c>
      <c r="D186" s="141"/>
      <c r="E186" s="165">
        <f>VLOOKUP(B186,WGA_totaal_premies[],VLOOKUP(VALUE(RIGHT($B$154,4)),Jaartal_kolomindex[],2,FALSE),FALSE)</f>
        <v>1.2500000000000001E-2</v>
      </c>
      <c r="F186" s="137">
        <f>VLOOKUP(B186,ZW_flex_premies[],VLOOKUP(VALUE(RIGHT($B$154,4)),Jaartal_kolomindex[],2,FALSE),FALSE)</f>
        <v>5.8999999999999999E-3</v>
      </c>
    </row>
    <row r="187" spans="2:6" x14ac:dyDescent="0.2">
      <c r="B187" s="139" t="s">
        <v>86</v>
      </c>
      <c r="C187" s="140" t="s">
        <v>87</v>
      </c>
      <c r="D187" s="141"/>
      <c r="E187" s="165">
        <f>VLOOKUP(B187,WGA_totaal_premies[],VLOOKUP(VALUE(RIGHT($B$154,4)),Jaartal_kolomindex[],2,FALSE),FALSE)</f>
        <v>4.0000000000000001E-3</v>
      </c>
      <c r="F187" s="137">
        <f>VLOOKUP(B187,ZW_flex_premies[],VLOOKUP(VALUE(RIGHT($B$154,4)),Jaartal_kolomindex[],2,FALSE),FALSE)</f>
        <v>5.3E-3</v>
      </c>
    </row>
    <row r="188" spans="2:6" x14ac:dyDescent="0.2">
      <c r="B188" s="139" t="s">
        <v>88</v>
      </c>
      <c r="C188" s="140" t="s">
        <v>89</v>
      </c>
      <c r="D188" s="141"/>
      <c r="E188" s="165">
        <f>VLOOKUP(B188,WGA_totaal_premies[],VLOOKUP(VALUE(RIGHT($B$154,4)),Jaartal_kolomindex[],2,FALSE),FALSE)</f>
        <v>8.8999999999999999E-3</v>
      </c>
      <c r="F188" s="137">
        <f>VLOOKUP(B188,ZW_flex_premies[],VLOOKUP(VALUE(RIGHT($B$154,4)),Jaartal_kolomindex[],2,FALSE),FALSE)</f>
        <v>3.8999999999999998E-3</v>
      </c>
    </row>
    <row r="189" spans="2:6" x14ac:dyDescent="0.2">
      <c r="B189" s="139" t="s">
        <v>90</v>
      </c>
      <c r="C189" s="140" t="s">
        <v>91</v>
      </c>
      <c r="D189" s="141"/>
      <c r="E189" s="165">
        <f>VLOOKUP(B189,WGA_totaal_premies[],VLOOKUP(VALUE(RIGHT($B$154,4)),Jaartal_kolomindex[],2,FALSE),FALSE)</f>
        <v>7.3000000000000001E-3</v>
      </c>
      <c r="F189" s="137">
        <f>VLOOKUP(B189,ZW_flex_premies[],VLOOKUP(VALUE(RIGHT($B$154,4)),Jaartal_kolomindex[],2,FALSE),FALSE)</f>
        <v>5.4999999999999997E-3</v>
      </c>
    </row>
    <row r="190" spans="2:6" x14ac:dyDescent="0.2">
      <c r="B190" s="139" t="s">
        <v>92</v>
      </c>
      <c r="C190" s="140" t="s">
        <v>93</v>
      </c>
      <c r="D190" s="141"/>
      <c r="E190" s="165">
        <f>VLOOKUP(B190,WGA_totaal_premies[],VLOOKUP(VALUE(RIGHT($B$154,4)),Jaartal_kolomindex[],2,FALSE),FALSE)</f>
        <v>9.2999999999999992E-3</v>
      </c>
      <c r="F190" s="137">
        <f>VLOOKUP(B190,ZW_flex_premies[],VLOOKUP(VALUE(RIGHT($B$154,4)),Jaartal_kolomindex[],2,FALSE),FALSE)</f>
        <v>7.3000000000000001E-3</v>
      </c>
    </row>
    <row r="191" spans="2:6" x14ac:dyDescent="0.2">
      <c r="B191" s="139" t="s">
        <v>94</v>
      </c>
      <c r="C191" s="140" t="s">
        <v>95</v>
      </c>
      <c r="D191" s="141"/>
      <c r="E191" s="165">
        <f>VLOOKUP(B191,WGA_totaal_premies[],VLOOKUP(VALUE(RIGHT($B$154,4)),Jaartal_kolomindex[],2,FALSE),FALSE)</f>
        <v>7.1999999999999998E-3</v>
      </c>
      <c r="F191" s="137">
        <f>VLOOKUP(B191,ZW_flex_premies[],VLOOKUP(VALUE(RIGHT($B$154,4)),Jaartal_kolomindex[],2,FALSE),FALSE)</f>
        <v>3.3999999999999998E-3</v>
      </c>
    </row>
    <row r="192" spans="2:6" x14ac:dyDescent="0.2">
      <c r="B192" s="139" t="s">
        <v>96</v>
      </c>
      <c r="C192" s="140" t="s">
        <v>97</v>
      </c>
      <c r="D192" s="141"/>
      <c r="E192" s="165">
        <f>VLOOKUP(B192,WGA_totaal_premies[],VLOOKUP(VALUE(RIGHT($B$154,4)),Jaartal_kolomindex[],2,FALSE),FALSE)</f>
        <v>3.0999999999999999E-3</v>
      </c>
      <c r="F192" s="137">
        <f>VLOOKUP(B192,ZW_flex_premies[],VLOOKUP(VALUE(RIGHT($B$154,4)),Jaartal_kolomindex[],2,FALSE),FALSE)</f>
        <v>1.1999999999999999E-3</v>
      </c>
    </row>
    <row r="193" spans="2:6" x14ac:dyDescent="0.2">
      <c r="B193" s="139" t="s">
        <v>98</v>
      </c>
      <c r="C193" s="140" t="s">
        <v>99</v>
      </c>
      <c r="D193" s="141"/>
      <c r="E193" s="165">
        <f>VLOOKUP(B193,WGA_totaal_premies[],VLOOKUP(VALUE(RIGHT($B$154,4)),Jaartal_kolomindex[],2,FALSE),FALSE)</f>
        <v>5.0000000000000001E-3</v>
      </c>
      <c r="F193" s="137">
        <f>VLOOKUP(B193,ZW_flex_premies[],VLOOKUP(VALUE(RIGHT($B$154,4)),Jaartal_kolomindex[],2,FALSE),FALSE)</f>
        <v>1E-3</v>
      </c>
    </row>
    <row r="194" spans="2:6" x14ac:dyDescent="0.2">
      <c r="B194" s="139" t="s">
        <v>100</v>
      </c>
      <c r="C194" s="140" t="s">
        <v>101</v>
      </c>
      <c r="D194" s="141"/>
      <c r="E194" s="165">
        <f>VLOOKUP(B194,WGA_totaal_premies[],VLOOKUP(VALUE(RIGHT($B$154,4)),Jaartal_kolomindex[],2,FALSE),FALSE)</f>
        <v>8.2000000000000007E-3</v>
      </c>
      <c r="F194" s="137">
        <f>VLOOKUP(B194,ZW_flex_premies[],VLOOKUP(VALUE(RIGHT($B$154,4)),Jaartal_kolomindex[],2,FALSE),FALSE)</f>
        <v>2.3E-3</v>
      </c>
    </row>
    <row r="195" spans="2:6" x14ac:dyDescent="0.2">
      <c r="B195" s="139" t="s">
        <v>102</v>
      </c>
      <c r="C195" s="140" t="s">
        <v>103</v>
      </c>
      <c r="D195" s="141"/>
      <c r="E195" s="165">
        <f>VLOOKUP(B195,WGA_totaal_premies[],VLOOKUP(VALUE(RIGHT($B$154,4)),Jaartal_kolomindex[],2,FALSE),FALSE)</f>
        <v>5.7000000000000002E-3</v>
      </c>
      <c r="F195" s="137">
        <f>VLOOKUP(B195,ZW_flex_premies[],VLOOKUP(VALUE(RIGHT($B$154,4)),Jaartal_kolomindex[],2,FALSE),FALSE)</f>
        <v>2.0999999999999999E-3</v>
      </c>
    </row>
    <row r="196" spans="2:6" x14ac:dyDescent="0.2">
      <c r="B196" s="139" t="s">
        <v>104</v>
      </c>
      <c r="C196" s="140" t="s">
        <v>105</v>
      </c>
      <c r="D196" s="141"/>
      <c r="E196" s="165">
        <f>VLOOKUP(B196,WGA_totaal_premies[],VLOOKUP(VALUE(RIGHT($B$154,4)),Jaartal_kolomindex[],2,FALSE),FALSE)</f>
        <v>6.6E-3</v>
      </c>
      <c r="F196" s="137">
        <f>VLOOKUP(B196,ZW_flex_premies[],VLOOKUP(VALUE(RIGHT($B$154,4)),Jaartal_kolomindex[],2,FALSE),FALSE)</f>
        <v>2.8999999999999998E-3</v>
      </c>
    </row>
    <row r="197" spans="2:6" x14ac:dyDescent="0.2">
      <c r="B197" s="139" t="s">
        <v>106</v>
      </c>
      <c r="C197" s="140" t="s">
        <v>107</v>
      </c>
      <c r="D197" s="141"/>
      <c r="E197" s="165">
        <f>VLOOKUP(B197,WGA_totaal_premies[],VLOOKUP(VALUE(RIGHT($B$154,4)),Jaartal_kolomindex[],2,FALSE),FALSE)</f>
        <v>4.8999999999999998E-3</v>
      </c>
      <c r="F197" s="137">
        <f>VLOOKUP(B197,ZW_flex_premies[],VLOOKUP(VALUE(RIGHT($B$154,4)),Jaartal_kolomindex[],2,FALSE),FALSE)</f>
        <v>1.4E-3</v>
      </c>
    </row>
    <row r="198" spans="2:6" x14ac:dyDescent="0.2">
      <c r="B198" s="139" t="s">
        <v>108</v>
      </c>
      <c r="C198" s="140" t="s">
        <v>109</v>
      </c>
      <c r="D198" s="141"/>
      <c r="E198" s="165">
        <f>VLOOKUP(B198,WGA_totaal_premies[],VLOOKUP(VALUE(RIGHT($B$154,4)),Jaartal_kolomindex[],2,FALSE),FALSE)</f>
        <v>3.7000000000000002E-3</v>
      </c>
      <c r="F198" s="137">
        <f>VLOOKUP(B198,ZW_flex_premies[],VLOOKUP(VALUE(RIGHT($B$154,4)),Jaartal_kolomindex[],2,FALSE),FALSE)</f>
        <v>2.5999999999999999E-3</v>
      </c>
    </row>
    <row r="199" spans="2:6" x14ac:dyDescent="0.2">
      <c r="B199" s="139" t="s">
        <v>110</v>
      </c>
      <c r="C199" s="140" t="s">
        <v>111</v>
      </c>
      <c r="D199" s="141"/>
      <c r="E199" s="165">
        <f>VLOOKUP(B199,WGA_totaal_premies[],VLOOKUP(VALUE(RIGHT($B$154,4)),Jaartal_kolomindex[],2,FALSE),FALSE)</f>
        <v>5.5999999999999999E-3</v>
      </c>
      <c r="F199" s="137">
        <f>VLOOKUP(B199,ZW_flex_premies[],VLOOKUP(VALUE(RIGHT($B$154,4)),Jaartal_kolomindex[],2,FALSE),FALSE)</f>
        <v>4.8999999999999998E-3</v>
      </c>
    </row>
    <row r="200" spans="2:6" x14ac:dyDescent="0.2">
      <c r="B200" s="139" t="s">
        <v>112</v>
      </c>
      <c r="C200" s="140" t="s">
        <v>113</v>
      </c>
      <c r="D200" s="141"/>
      <c r="E200" s="165">
        <f>VLOOKUP(B200,WGA_totaal_premies[],VLOOKUP(VALUE(RIGHT($B$154,4)),Jaartal_kolomindex[],2,FALSE),FALSE)</f>
        <v>6.7999999999999996E-3</v>
      </c>
      <c r="F200" s="137">
        <f>VLOOKUP(B200,ZW_flex_premies[],VLOOKUP(VALUE(RIGHT($B$154,4)),Jaartal_kolomindex[],2,FALSE),FALSE)</f>
        <v>4.1000000000000003E-3</v>
      </c>
    </row>
    <row r="201" spans="2:6" x14ac:dyDescent="0.2">
      <c r="B201" s="139" t="s">
        <v>114</v>
      </c>
      <c r="C201" s="140" t="s">
        <v>115</v>
      </c>
      <c r="D201" s="141"/>
      <c r="E201" s="165">
        <f>VLOOKUP(B201,WGA_totaal_premies[],VLOOKUP(VALUE(RIGHT($B$154,4)),Jaartal_kolomindex[],2,FALSE),FALSE)</f>
        <v>5.4000000000000003E-3</v>
      </c>
      <c r="F201" s="137">
        <f>VLOOKUP(B201,ZW_flex_premies[],VLOOKUP(VALUE(RIGHT($B$154,4)),Jaartal_kolomindex[],2,FALSE),FALSE)</f>
        <v>8.0000000000000004E-4</v>
      </c>
    </row>
    <row r="202" spans="2:6" x14ac:dyDescent="0.2">
      <c r="B202" s="139" t="s">
        <v>116</v>
      </c>
      <c r="C202" s="140" t="s">
        <v>117</v>
      </c>
      <c r="D202" s="141"/>
      <c r="E202" s="165">
        <f>VLOOKUP(B202,WGA_totaal_premies[],VLOOKUP(VALUE(RIGHT($B$154,4)),Jaartal_kolomindex[],2,FALSE),FALSE)</f>
        <v>1.46E-2</v>
      </c>
      <c r="F202" s="137">
        <f>VLOOKUP(B202,ZW_flex_premies[],VLOOKUP(VALUE(RIGHT($B$154,4)),Jaartal_kolomindex[],2,FALSE),FALSE)</f>
        <v>3.8E-3</v>
      </c>
    </row>
    <row r="203" spans="2:6" x14ac:dyDescent="0.2">
      <c r="B203" s="139" t="s">
        <v>118</v>
      </c>
      <c r="C203" s="140" t="s">
        <v>119</v>
      </c>
      <c r="D203" s="141"/>
      <c r="E203" s="165">
        <f>VLOOKUP(B203,WGA_totaal_premies[],VLOOKUP(VALUE(RIGHT($B$154,4)),Jaartal_kolomindex[],2,FALSE),FALSE)</f>
        <v>7.7000000000000002E-3</v>
      </c>
      <c r="F203" s="137">
        <f>VLOOKUP(B203,ZW_flex_premies[],VLOOKUP(VALUE(RIGHT($B$154,4)),Jaartal_kolomindex[],2,FALSE),FALSE)</f>
        <v>1.6999999999999999E-3</v>
      </c>
    </row>
    <row r="204" spans="2:6" x14ac:dyDescent="0.2">
      <c r="B204" s="139" t="s">
        <v>120</v>
      </c>
      <c r="C204" s="140" t="s">
        <v>121</v>
      </c>
      <c r="D204" s="141"/>
      <c r="E204" s="165">
        <f>VLOOKUP(B204,WGA_totaal_premies[],VLOOKUP(VALUE(RIGHT($B$154,4)),Jaartal_kolomindex[],2,FALSE),FALSE)</f>
        <v>6.6E-3</v>
      </c>
      <c r="F204" s="137">
        <f>VLOOKUP(B204,ZW_flex_premies[],VLOOKUP(VALUE(RIGHT($B$154,4)),Jaartal_kolomindex[],2,FALSE),FALSE)</f>
        <v>3.0000000000000001E-3</v>
      </c>
    </row>
    <row r="205" spans="2:6" x14ac:dyDescent="0.2">
      <c r="B205" s="139" t="s">
        <v>122</v>
      </c>
      <c r="C205" s="140" t="s">
        <v>123</v>
      </c>
      <c r="D205" s="141"/>
      <c r="E205" s="165">
        <f>VLOOKUP(B205,WGA_totaal_premies[],VLOOKUP(VALUE(RIGHT($B$154,4)),Jaartal_kolomindex[],2,FALSE),FALSE)</f>
        <v>6.4000000000000003E-3</v>
      </c>
      <c r="F205" s="137">
        <f>VLOOKUP(B205,ZW_flex_premies[],VLOOKUP(VALUE(RIGHT($B$154,4)),Jaartal_kolomindex[],2,FALSE),FALSE)</f>
        <v>3.2000000000000002E-3</v>
      </c>
    </row>
    <row r="206" spans="2:6" x14ac:dyDescent="0.2">
      <c r="B206" s="139" t="s">
        <v>124</v>
      </c>
      <c r="C206" s="140" t="s">
        <v>125</v>
      </c>
      <c r="D206" s="141"/>
      <c r="E206" s="165">
        <f>VLOOKUP(B206,WGA_totaal_premies[],VLOOKUP(VALUE(RIGHT($B$154,4)),Jaartal_kolomindex[],2,FALSE),FALSE)</f>
        <v>1.14E-2</v>
      </c>
      <c r="F206" s="137">
        <f>VLOOKUP(B206,ZW_flex_premies[],VLOOKUP(VALUE(RIGHT($B$154,4)),Jaartal_kolomindex[],2,FALSE),FALSE)</f>
        <v>3.9399999999999998E-2</v>
      </c>
    </row>
    <row r="207" spans="2:6" x14ac:dyDescent="0.2">
      <c r="B207" s="139" t="s">
        <v>126</v>
      </c>
      <c r="C207" s="140" t="s">
        <v>127</v>
      </c>
      <c r="D207" s="141"/>
      <c r="E207" s="165">
        <f>VLOOKUP(B207,WGA_totaal_premies[],VLOOKUP(VALUE(RIGHT($B$154,4)),Jaartal_kolomindex[],2,FALSE),FALSE)</f>
        <v>1.0200000000000001E-2</v>
      </c>
      <c r="F207" s="137">
        <f>VLOOKUP(B207,ZW_flex_premies[],VLOOKUP(VALUE(RIGHT($B$154,4)),Jaartal_kolomindex[],2,FALSE),FALSE)</f>
        <v>8.3999999999999995E-3</v>
      </c>
    </row>
    <row r="208" spans="2:6" x14ac:dyDescent="0.2">
      <c r="B208" s="139" t="s">
        <v>128</v>
      </c>
      <c r="C208" s="140" t="s">
        <v>129</v>
      </c>
      <c r="D208" s="141"/>
      <c r="E208" s="165">
        <f>VLOOKUP(B208,WGA_totaal_premies[],VLOOKUP(VALUE(RIGHT($B$154,4)),Jaartal_kolomindex[],2,FALSE),FALSE)</f>
        <v>5.7999999999999996E-3</v>
      </c>
      <c r="F208" s="137">
        <f>VLOOKUP(B208,ZW_flex_premies[],VLOOKUP(VALUE(RIGHT($B$154,4)),Jaartal_kolomindex[],2,FALSE),FALSE)</f>
        <v>2.8999999999999998E-3</v>
      </c>
    </row>
    <row r="209" spans="2:6" x14ac:dyDescent="0.2">
      <c r="B209" s="139" t="s">
        <v>130</v>
      </c>
      <c r="C209" s="140" t="s">
        <v>131</v>
      </c>
      <c r="D209" s="141"/>
      <c r="E209" s="165">
        <f>VLOOKUP(B209,WGA_totaal_premies[],VLOOKUP(VALUE(RIGHT($B$154,4)),Jaartal_kolomindex[],2,FALSE),FALSE)</f>
        <v>1.0999999999999999E-2</v>
      </c>
      <c r="F209" s="137">
        <f>VLOOKUP(B209,ZW_flex_premies[],VLOOKUP(VALUE(RIGHT($B$154,4)),Jaartal_kolomindex[],2,FALSE),FALSE)</f>
        <v>4.1000000000000003E-3</v>
      </c>
    </row>
    <row r="210" spans="2:6" x14ac:dyDescent="0.2">
      <c r="B210" s="139" t="s">
        <v>132</v>
      </c>
      <c r="C210" s="140" t="s">
        <v>133</v>
      </c>
      <c r="D210" s="141"/>
      <c r="E210" s="165">
        <f>VLOOKUP(B210,WGA_totaal_premies[],VLOOKUP(VALUE(RIGHT($B$154,4)),Jaartal_kolomindex[],2,FALSE),FALSE)</f>
        <v>2.0400000000000001E-2</v>
      </c>
      <c r="F210" s="137">
        <f>VLOOKUP(B210,ZW_flex_premies[],VLOOKUP(VALUE(RIGHT($B$154,4)),Jaartal_kolomindex[],2,FALSE),FALSE)</f>
        <v>5.5999999999999999E-3</v>
      </c>
    </row>
    <row r="211" spans="2:6" x14ac:dyDescent="0.2">
      <c r="B211" s="139" t="s">
        <v>134</v>
      </c>
      <c r="C211" s="140" t="s">
        <v>135</v>
      </c>
      <c r="D211" s="141"/>
      <c r="E211" s="165">
        <f>VLOOKUP(B211,WGA_totaal_premies[],VLOOKUP(VALUE(RIGHT($B$154,4)),Jaartal_kolomindex[],2,FALSE),FALSE)</f>
        <v>3.0499999999999999E-2</v>
      </c>
      <c r="F211" s="137">
        <f>VLOOKUP(B211,ZW_flex_premies[],VLOOKUP(VALUE(RIGHT($B$154,4)),Jaartal_kolomindex[],2,FALSE),FALSE)</f>
        <v>7.1000000000000004E-3</v>
      </c>
    </row>
    <row r="212" spans="2:6" x14ac:dyDescent="0.2">
      <c r="B212" s="139" t="s">
        <v>136</v>
      </c>
      <c r="C212" s="140" t="s">
        <v>137</v>
      </c>
      <c r="D212" s="141"/>
      <c r="E212" s="165">
        <f>VLOOKUP(B212,WGA_totaal_premies[],VLOOKUP(VALUE(RIGHT($B$154,4)),Jaartal_kolomindex[],2,FALSE),FALSE)</f>
        <v>2.1700000000000001E-2</v>
      </c>
      <c r="F212" s="137">
        <f>VLOOKUP(B212,ZW_flex_premies[],VLOOKUP(VALUE(RIGHT($B$154,4)),Jaartal_kolomindex[],2,FALSE),FALSE)</f>
        <v>4.4999999999999997E-3</v>
      </c>
    </row>
    <row r="213" spans="2:6" x14ac:dyDescent="0.2">
      <c r="B213" s="139" t="s">
        <v>138</v>
      </c>
      <c r="C213" s="140" t="s">
        <v>139</v>
      </c>
      <c r="D213" s="141"/>
      <c r="E213" s="165">
        <f>VLOOKUP(B213,WGA_totaal_premies[],VLOOKUP(VALUE(RIGHT($B$154,4)),Jaartal_kolomindex[],2,FALSE),FALSE)</f>
        <v>1.54E-2</v>
      </c>
      <c r="F213" s="137">
        <f>VLOOKUP(B213,ZW_flex_premies[],VLOOKUP(VALUE(RIGHT($B$154,4)),Jaartal_kolomindex[],2,FALSE),FALSE)</f>
        <v>1.5E-3</v>
      </c>
    </row>
    <row r="214" spans="2:6" x14ac:dyDescent="0.2">
      <c r="B214" s="139" t="s">
        <v>140</v>
      </c>
      <c r="C214" s="140" t="s">
        <v>141</v>
      </c>
      <c r="D214" s="141"/>
      <c r="E214" s="165">
        <f>VLOOKUP(B214,WGA_totaal_premies[],VLOOKUP(VALUE(RIGHT($B$154,4)),Jaartal_kolomindex[],2,FALSE),FALSE)</f>
        <v>2.2499999999999999E-2</v>
      </c>
      <c r="F214" s="137">
        <f>VLOOKUP(B214,ZW_flex_premies[],VLOOKUP(VALUE(RIGHT($B$154,4)),Jaartal_kolomindex[],2,FALSE),FALSE)</f>
        <v>3.5999999999999999E-3</v>
      </c>
    </row>
    <row r="215" spans="2:6" x14ac:dyDescent="0.2">
      <c r="B215" s="139" t="s">
        <v>142</v>
      </c>
      <c r="C215" s="140" t="s">
        <v>143</v>
      </c>
      <c r="D215" s="141"/>
      <c r="E215" s="165">
        <f>VLOOKUP(B215,WGA_totaal_premies[],VLOOKUP(VALUE(RIGHT($B$154,4)),Jaartal_kolomindex[],2,FALSE),FALSE)</f>
        <v>8.8000000000000005E-3</v>
      </c>
      <c r="F215" s="137">
        <f>VLOOKUP(B215,ZW_flex_premies[],VLOOKUP(VALUE(RIGHT($B$154,4)),Jaartal_kolomindex[],2,FALSE),FALSE)</f>
        <v>8.9999999999999998E-4</v>
      </c>
    </row>
    <row r="216" spans="2:6" x14ac:dyDescent="0.2">
      <c r="B216" s="139" t="s">
        <v>144</v>
      </c>
      <c r="C216" s="140" t="s">
        <v>145</v>
      </c>
      <c r="D216" s="141"/>
      <c r="E216" s="165">
        <f>VLOOKUP(B216,WGA_totaal_premies[],VLOOKUP(VALUE(RIGHT($B$154,4)),Jaartal_kolomindex[],2,FALSE),FALSE)</f>
        <v>6.4000000000000003E-3</v>
      </c>
      <c r="F216" s="137">
        <f>VLOOKUP(B216,ZW_flex_premies[],VLOOKUP(VALUE(RIGHT($B$154,4)),Jaartal_kolomindex[],2,FALSE),FALSE)</f>
        <v>2.9999999999999997E-4</v>
      </c>
    </row>
    <row r="217" spans="2:6" x14ac:dyDescent="0.2">
      <c r="B217" s="139" t="s">
        <v>146</v>
      </c>
      <c r="C217" s="140" t="s">
        <v>147</v>
      </c>
      <c r="D217" s="141"/>
      <c r="E217" s="165">
        <f>VLOOKUP(B217,WGA_totaal_premies[],VLOOKUP(VALUE(RIGHT($B$154,4)),Jaartal_kolomindex[],2,FALSE),FALSE)</f>
        <v>0</v>
      </c>
      <c r="F217" s="137">
        <f>VLOOKUP(B217,ZW_flex_premies[],VLOOKUP(VALUE(RIGHT($B$154,4)),Jaartal_kolomindex[],2,FALSE),FALSE)</f>
        <v>1E-4</v>
      </c>
    </row>
    <row r="218" spans="2:6" x14ac:dyDescent="0.2">
      <c r="B218" s="139" t="s">
        <v>148</v>
      </c>
      <c r="C218" s="140" t="s">
        <v>149</v>
      </c>
      <c r="D218" s="141"/>
      <c r="E218" s="165">
        <f>VLOOKUP(B218,WGA_totaal_premies[],VLOOKUP(VALUE(RIGHT($B$154,4)),Jaartal_kolomindex[],2,FALSE),FALSE)</f>
        <v>8.0000000000000002E-3</v>
      </c>
      <c r="F218" s="137">
        <f>VLOOKUP(B218,ZW_flex_premies[],VLOOKUP(VALUE(RIGHT($B$154,4)),Jaartal_kolomindex[],2,FALSE),FALSE)</f>
        <v>5.9999999999999995E-4</v>
      </c>
    </row>
    <row r="219" spans="2:6" x14ac:dyDescent="0.2">
      <c r="B219" s="139" t="s">
        <v>150</v>
      </c>
      <c r="C219" s="140" t="s">
        <v>151</v>
      </c>
      <c r="D219" s="141"/>
      <c r="E219" s="165">
        <f>VLOOKUP(B219,WGA_totaal_premies[],VLOOKUP(VALUE(RIGHT($B$154,4)),Jaartal_kolomindex[],2,FALSE),FALSE)</f>
        <v>3.7000000000000002E-3</v>
      </c>
      <c r="F219" s="137">
        <f>VLOOKUP(B219,ZW_flex_premies[],VLOOKUP(VALUE(RIGHT($B$154,4)),Jaartal_kolomindex[],2,FALSE),FALSE)</f>
        <v>8.0000000000000004E-4</v>
      </c>
    </row>
    <row r="220" spans="2:6" x14ac:dyDescent="0.2">
      <c r="B220" s="139" t="s">
        <v>152</v>
      </c>
      <c r="C220" s="140" t="s">
        <v>153</v>
      </c>
      <c r="D220" s="141"/>
      <c r="E220" s="165">
        <f>VLOOKUP(B220,WGA_totaal_premies[],VLOOKUP(VALUE(RIGHT($B$154,4)),Jaartal_kolomindex[],2,FALSE),FALSE)</f>
        <v>9.1999999999999998E-3</v>
      </c>
      <c r="F220" s="137">
        <f>VLOOKUP(B220,ZW_flex_premies[],VLOOKUP(VALUE(RIGHT($B$154,4)),Jaartal_kolomindex[],2,FALSE),FALSE)</f>
        <v>2.3E-3</v>
      </c>
    </row>
    <row r="221" spans="2:6" x14ac:dyDescent="0.2">
      <c r="B221" s="139" t="s">
        <v>154</v>
      </c>
      <c r="C221" s="140" t="s">
        <v>155</v>
      </c>
      <c r="D221" s="141"/>
      <c r="E221" s="165">
        <f>VLOOKUP(B221,WGA_totaal_premies[],VLOOKUP(VALUE(RIGHT($B$154,4)),Jaartal_kolomindex[],2,FALSE),FALSE)</f>
        <v>3.3300000000000003E-2</v>
      </c>
      <c r="F221" s="137">
        <f>VLOOKUP(B221,ZW_flex_premies[],VLOOKUP(VALUE(RIGHT($B$154,4)),Jaartal_kolomindex[],2,FALSE),FALSE)</f>
        <v>1.1299999999999999E-2</v>
      </c>
    </row>
    <row r="222" spans="2:6" x14ac:dyDescent="0.2">
      <c r="B222" s="139" t="s">
        <v>156</v>
      </c>
      <c r="C222" s="140" t="s">
        <v>157</v>
      </c>
      <c r="D222" s="141"/>
      <c r="E222" s="165">
        <f>VLOOKUP(B222,WGA_totaal_premies[],VLOOKUP(VALUE(RIGHT($B$154,4)),Jaartal_kolomindex[],2,FALSE),FALSE)</f>
        <v>1.01E-2</v>
      </c>
      <c r="F222" s="137">
        <f>VLOOKUP(B222,ZW_flex_premies[],VLOOKUP(VALUE(RIGHT($B$154,4)),Jaartal_kolomindex[],2,FALSE),FALSE)</f>
        <v>5.9999999999999995E-4</v>
      </c>
    </row>
    <row r="223" spans="2:6" x14ac:dyDescent="0.2">
      <c r="B223" s="139" t="s">
        <v>158</v>
      </c>
      <c r="C223" s="140" t="s">
        <v>159</v>
      </c>
      <c r="D223" s="141"/>
      <c r="E223" s="165">
        <f>VLOOKUP(B223,WGA_totaal_premies[],VLOOKUP(VALUE(RIGHT($B$154,4)),Jaartal_kolomindex[],2,FALSE),FALSE)</f>
        <v>5.3E-3</v>
      </c>
      <c r="F223" s="137">
        <f>VLOOKUP(B223,ZW_flex_premies[],VLOOKUP(VALUE(RIGHT($B$154,4)),Jaartal_kolomindex[],2,FALSE),FALSE)</f>
        <v>2.5999999999999999E-3</v>
      </c>
    </row>
    <row r="224" spans="2:6" x14ac:dyDescent="0.2">
      <c r="B224" s="128"/>
      <c r="C224" s="89"/>
      <c r="D224" s="155"/>
      <c r="E224" s="5"/>
      <c r="F224" s="29"/>
    </row>
    <row r="225" spans="2:6" collapsed="1" x14ac:dyDescent="0.2"/>
    <row r="226" spans="2:6" s="93" customFormat="1" ht="18" customHeight="1" x14ac:dyDescent="0.2">
      <c r="B226" s="281" t="str">
        <f>"Sectorale premies "&amp;Hulpsheet!$B$2-2</f>
        <v>Sectorale premies 2016</v>
      </c>
      <c r="C226" s="282"/>
      <c r="D226" s="282"/>
      <c r="E226" s="282"/>
      <c r="F226" s="283"/>
    </row>
    <row r="227" spans="2:6" x14ac:dyDescent="0.2">
      <c r="B227" s="129"/>
      <c r="C227" s="101"/>
      <c r="D227" s="130"/>
      <c r="E227" s="9"/>
      <c r="F227" s="8"/>
    </row>
    <row r="228" spans="2:6" s="260" customFormat="1" ht="18" customHeight="1" x14ac:dyDescent="0.3">
      <c r="B228" s="255" t="s">
        <v>24</v>
      </c>
      <c r="C228" s="258"/>
      <c r="D228" s="259" t="s">
        <v>5</v>
      </c>
      <c r="E228" s="256" t="s">
        <v>13</v>
      </c>
      <c r="F228" s="257" t="s">
        <v>25</v>
      </c>
    </row>
    <row r="229" spans="2:6" x14ac:dyDescent="0.2">
      <c r="B229" s="133" t="s">
        <v>26</v>
      </c>
      <c r="C229" s="134" t="s">
        <v>27</v>
      </c>
      <c r="D229" s="135">
        <v>5.1000000000000004E-3</v>
      </c>
      <c r="E229" s="136">
        <v>1.8E-3</v>
      </c>
      <c r="F229" s="137">
        <v>3.2000000000000002E-3</v>
      </c>
    </row>
    <row r="230" spans="2:6" x14ac:dyDescent="0.2">
      <c r="B230" s="139" t="s">
        <v>28</v>
      </c>
      <c r="C230" s="140" t="s">
        <v>29</v>
      </c>
      <c r="D230" s="141">
        <v>3.0999999999999999E-3</v>
      </c>
      <c r="E230" s="142">
        <v>5.0000000000000001E-4</v>
      </c>
      <c r="F230" s="143">
        <v>2.3999999999999998E-3</v>
      </c>
    </row>
    <row r="231" spans="2:6" x14ac:dyDescent="0.2">
      <c r="B231" s="139" t="s">
        <v>30</v>
      </c>
      <c r="C231" s="140" t="s">
        <v>31</v>
      </c>
      <c r="D231" s="141">
        <v>7.9000000000000008E-3</v>
      </c>
      <c r="E231" s="142">
        <v>3.2000000000000002E-3</v>
      </c>
      <c r="F231" s="143">
        <v>4.7999999999999996E-3</v>
      </c>
    </row>
    <row r="232" spans="2:6" x14ac:dyDescent="0.2">
      <c r="B232" s="139" t="s">
        <v>32</v>
      </c>
      <c r="C232" s="140" t="s">
        <v>33</v>
      </c>
      <c r="D232" s="141">
        <v>3.5999999999999999E-3</v>
      </c>
      <c r="E232" s="142">
        <v>1E-3</v>
      </c>
      <c r="F232" s="143">
        <v>2E-3</v>
      </c>
    </row>
    <row r="233" spans="2:6" x14ac:dyDescent="0.2">
      <c r="B233" s="139" t="s">
        <v>34</v>
      </c>
      <c r="C233" s="140" t="s">
        <v>35</v>
      </c>
      <c r="D233" s="141">
        <v>1.21E-2</v>
      </c>
      <c r="E233" s="142">
        <v>2.8E-3</v>
      </c>
      <c r="F233" s="143">
        <v>4.4000000000000003E-3</v>
      </c>
    </row>
    <row r="234" spans="2:6" x14ac:dyDescent="0.2">
      <c r="B234" s="139" t="s">
        <v>36</v>
      </c>
      <c r="C234" s="140" t="s">
        <v>37</v>
      </c>
      <c r="D234" s="141">
        <v>6.8999999999999999E-3</v>
      </c>
      <c r="E234" s="142">
        <v>4.3E-3</v>
      </c>
      <c r="F234" s="143">
        <v>5.0000000000000001E-3</v>
      </c>
    </row>
    <row r="235" spans="2:6" x14ac:dyDescent="0.2">
      <c r="B235" s="139" t="s">
        <v>38</v>
      </c>
      <c r="C235" s="140" t="s">
        <v>39</v>
      </c>
      <c r="D235" s="141">
        <v>5.4999999999999997E-3</v>
      </c>
      <c r="E235" s="142">
        <v>3.7000000000000002E-3</v>
      </c>
      <c r="F235" s="143">
        <v>4.7999999999999996E-3</v>
      </c>
    </row>
    <row r="236" spans="2:6" x14ac:dyDescent="0.2">
      <c r="B236" s="139" t="s">
        <v>40</v>
      </c>
      <c r="C236" s="140" t="s">
        <v>41</v>
      </c>
      <c r="D236" s="141">
        <v>5.4000000000000003E-3</v>
      </c>
      <c r="E236" s="142">
        <v>4.4999999999999997E-3</v>
      </c>
      <c r="F236" s="143">
        <v>3.7000000000000002E-3</v>
      </c>
    </row>
    <row r="237" spans="2:6" x14ac:dyDescent="0.2">
      <c r="B237" s="139" t="s">
        <v>42</v>
      </c>
      <c r="C237" s="140" t="s">
        <v>43</v>
      </c>
      <c r="D237" s="141">
        <v>4.5999999999999999E-3</v>
      </c>
      <c r="E237" s="142">
        <v>3.3999999999999998E-3</v>
      </c>
      <c r="F237" s="143">
        <v>4.7000000000000002E-3</v>
      </c>
    </row>
    <row r="238" spans="2:6" x14ac:dyDescent="0.2">
      <c r="B238" s="139" t="s">
        <v>44</v>
      </c>
      <c r="C238" s="140" t="s">
        <v>45</v>
      </c>
      <c r="D238" s="141">
        <v>3.2000000000000002E-3</v>
      </c>
      <c r="E238" s="142">
        <v>1.4E-3</v>
      </c>
      <c r="F238" s="143">
        <v>2.2000000000000001E-3</v>
      </c>
    </row>
    <row r="239" spans="2:6" x14ac:dyDescent="0.2">
      <c r="B239" s="139" t="s">
        <v>46</v>
      </c>
      <c r="C239" s="140" t="s">
        <v>47</v>
      </c>
      <c r="D239" s="141">
        <v>2.5000000000000001E-3</v>
      </c>
      <c r="E239" s="142">
        <v>1.1999999999999999E-3</v>
      </c>
      <c r="F239" s="143">
        <v>1.4E-3</v>
      </c>
    </row>
    <row r="240" spans="2:6" x14ac:dyDescent="0.2">
      <c r="B240" s="139" t="s">
        <v>48</v>
      </c>
      <c r="C240" s="140" t="s">
        <v>49</v>
      </c>
      <c r="D240" s="141">
        <v>5.7000000000000002E-3</v>
      </c>
      <c r="E240" s="142">
        <v>2.2000000000000001E-3</v>
      </c>
      <c r="F240" s="143">
        <v>3.7000000000000002E-3</v>
      </c>
    </row>
    <row r="241" spans="2:6" x14ac:dyDescent="0.2">
      <c r="B241" s="139" t="s">
        <v>50</v>
      </c>
      <c r="C241" s="140" t="s">
        <v>51</v>
      </c>
      <c r="D241" s="141">
        <v>9.1000000000000004E-3</v>
      </c>
      <c r="E241" s="142">
        <v>4.0000000000000001E-3</v>
      </c>
      <c r="F241" s="143">
        <v>4.3E-3</v>
      </c>
    </row>
    <row r="242" spans="2:6" x14ac:dyDescent="0.2">
      <c r="B242" s="139" t="s">
        <v>52</v>
      </c>
      <c r="C242" s="140" t="s">
        <v>53</v>
      </c>
      <c r="D242" s="141">
        <v>7.3000000000000001E-3</v>
      </c>
      <c r="E242" s="142">
        <v>3.5000000000000001E-3</v>
      </c>
      <c r="F242" s="143">
        <v>3.5000000000000001E-3</v>
      </c>
    </row>
    <row r="243" spans="2:6" x14ac:dyDescent="0.2">
      <c r="B243" s="139" t="s">
        <v>54</v>
      </c>
      <c r="C243" s="140" t="s">
        <v>55</v>
      </c>
      <c r="D243" s="141">
        <v>1.09E-2</v>
      </c>
      <c r="E243" s="142">
        <v>4.0000000000000001E-3</v>
      </c>
      <c r="F243" s="143">
        <v>6.3E-3</v>
      </c>
    </row>
    <row r="244" spans="2:6" x14ac:dyDescent="0.2">
      <c r="B244" s="139" t="s">
        <v>56</v>
      </c>
      <c r="C244" s="140" t="s">
        <v>57</v>
      </c>
      <c r="D244" s="141">
        <v>8.2000000000000007E-3</v>
      </c>
      <c r="E244" s="142">
        <v>3.0000000000000001E-3</v>
      </c>
      <c r="F244" s="143">
        <v>5.1000000000000004E-3</v>
      </c>
    </row>
    <row r="245" spans="2:6" x14ac:dyDescent="0.2">
      <c r="B245" s="139" t="s">
        <v>58</v>
      </c>
      <c r="C245" s="140" t="s">
        <v>59</v>
      </c>
      <c r="D245" s="141">
        <v>5.4000000000000003E-3</v>
      </c>
      <c r="E245" s="142">
        <v>3.5000000000000001E-3</v>
      </c>
      <c r="F245" s="143">
        <v>5.0000000000000001E-3</v>
      </c>
    </row>
    <row r="246" spans="2:6" x14ac:dyDescent="0.2">
      <c r="B246" s="139" t="s">
        <v>60</v>
      </c>
      <c r="C246" s="140" t="s">
        <v>61</v>
      </c>
      <c r="D246" s="141">
        <v>1.4E-2</v>
      </c>
      <c r="E246" s="142">
        <v>6.0000000000000001E-3</v>
      </c>
      <c r="F246" s="143">
        <v>8.8000000000000005E-3</v>
      </c>
    </row>
    <row r="247" spans="2:6" x14ac:dyDescent="0.2">
      <c r="B247" s="139" t="s">
        <v>62</v>
      </c>
      <c r="C247" s="140" t="s">
        <v>63</v>
      </c>
      <c r="D247" s="141">
        <v>6.0000000000000001E-3</v>
      </c>
      <c r="E247" s="142">
        <v>2.7000000000000001E-3</v>
      </c>
      <c r="F247" s="143">
        <v>4.1000000000000003E-3</v>
      </c>
    </row>
    <row r="248" spans="2:6" x14ac:dyDescent="0.2">
      <c r="B248" s="139" t="s">
        <v>64</v>
      </c>
      <c r="C248" s="140" t="s">
        <v>65</v>
      </c>
      <c r="D248" s="141">
        <v>4.0000000000000001E-3</v>
      </c>
      <c r="E248" s="142">
        <v>2.3E-3</v>
      </c>
      <c r="F248" s="143">
        <v>5.7000000000000002E-3</v>
      </c>
    </row>
    <row r="249" spans="2:6" x14ac:dyDescent="0.2">
      <c r="B249" s="139" t="s">
        <v>66</v>
      </c>
      <c r="C249" s="140" t="s">
        <v>67</v>
      </c>
      <c r="D249" s="141">
        <v>6.7000000000000002E-3</v>
      </c>
      <c r="E249" s="142">
        <v>2.3999999999999998E-3</v>
      </c>
      <c r="F249" s="143">
        <v>8.5000000000000006E-3</v>
      </c>
    </row>
    <row r="250" spans="2:6" x14ac:dyDescent="0.2">
      <c r="B250" s="139" t="s">
        <v>68</v>
      </c>
      <c r="C250" s="140" t="s">
        <v>69</v>
      </c>
      <c r="D250" s="141">
        <v>3.3999999999999998E-3</v>
      </c>
      <c r="E250" s="142">
        <v>2.5000000000000001E-3</v>
      </c>
      <c r="F250" s="143">
        <v>4.7999999999999996E-3</v>
      </c>
    </row>
    <row r="251" spans="2:6" x14ac:dyDescent="0.2">
      <c r="B251" s="139" t="s">
        <v>70</v>
      </c>
      <c r="C251" s="140" t="s">
        <v>71</v>
      </c>
      <c r="D251" s="141">
        <v>5.4999999999999997E-3</v>
      </c>
      <c r="E251" s="142">
        <v>2.3E-3</v>
      </c>
      <c r="F251" s="143">
        <v>6.9999999999999999E-4</v>
      </c>
    </row>
    <row r="252" spans="2:6" x14ac:dyDescent="0.2">
      <c r="B252" s="139" t="s">
        <v>72</v>
      </c>
      <c r="C252" s="140" t="s">
        <v>73</v>
      </c>
      <c r="D252" s="141">
        <v>4.7000000000000002E-3</v>
      </c>
      <c r="E252" s="142">
        <v>5.9999999999999995E-4</v>
      </c>
      <c r="F252" s="143">
        <v>2.8999999999999998E-3</v>
      </c>
    </row>
    <row r="253" spans="2:6" x14ac:dyDescent="0.2">
      <c r="B253" s="139" t="s">
        <v>74</v>
      </c>
      <c r="C253" s="140" t="s">
        <v>75</v>
      </c>
      <c r="D253" s="141">
        <v>8.6E-3</v>
      </c>
      <c r="E253" s="142">
        <v>4.0000000000000002E-4</v>
      </c>
      <c r="F253" s="143">
        <v>5.1000000000000004E-3</v>
      </c>
    </row>
    <row r="254" spans="2:6" x14ac:dyDescent="0.2">
      <c r="B254" s="139" t="s">
        <v>76</v>
      </c>
      <c r="C254" s="140" t="s">
        <v>77</v>
      </c>
      <c r="D254" s="141">
        <v>4.7999999999999996E-3</v>
      </c>
      <c r="E254" s="142">
        <v>8.9999999999999998E-4</v>
      </c>
      <c r="F254" s="143">
        <v>5.8999999999999999E-3</v>
      </c>
    </row>
    <row r="255" spans="2:6" x14ac:dyDescent="0.2">
      <c r="B255" s="139" t="s">
        <v>78</v>
      </c>
      <c r="C255" s="140" t="s">
        <v>79</v>
      </c>
      <c r="D255" s="141">
        <v>4.7999999999999996E-3</v>
      </c>
      <c r="E255" s="142">
        <v>2.5000000000000001E-3</v>
      </c>
      <c r="F255" s="143">
        <v>5.3E-3</v>
      </c>
    </row>
    <row r="256" spans="2:6" x14ac:dyDescent="0.2">
      <c r="B256" s="139" t="s">
        <v>80</v>
      </c>
      <c r="C256" s="140" t="s">
        <v>81</v>
      </c>
      <c r="D256" s="141">
        <v>9.4999999999999998E-3</v>
      </c>
      <c r="E256" s="142">
        <v>8.5000000000000006E-3</v>
      </c>
      <c r="F256" s="143">
        <v>1.5699999999999999E-2</v>
      </c>
    </row>
    <row r="257" spans="2:6" x14ac:dyDescent="0.2">
      <c r="B257" s="139" t="s">
        <v>82</v>
      </c>
      <c r="C257" s="140" t="s">
        <v>83</v>
      </c>
      <c r="D257" s="141">
        <v>3.2000000000000002E-3</v>
      </c>
      <c r="E257" s="142">
        <v>1.5E-3</v>
      </c>
      <c r="F257" s="143">
        <v>3.7000000000000002E-3</v>
      </c>
    </row>
    <row r="258" spans="2:6" x14ac:dyDescent="0.2">
      <c r="B258" s="139" t="s">
        <v>84</v>
      </c>
      <c r="C258" s="140" t="s">
        <v>85</v>
      </c>
      <c r="D258" s="141">
        <v>6.7000000000000002E-3</v>
      </c>
      <c r="E258" s="142">
        <v>5.7999999999999996E-3</v>
      </c>
      <c r="F258" s="143">
        <v>5.8999999999999999E-3</v>
      </c>
    </row>
    <row r="259" spans="2:6" x14ac:dyDescent="0.2">
      <c r="B259" s="139" t="s">
        <v>86</v>
      </c>
      <c r="C259" s="140" t="s">
        <v>87</v>
      </c>
      <c r="D259" s="141">
        <v>1.4E-3</v>
      </c>
      <c r="E259" s="142">
        <v>2.3E-3</v>
      </c>
      <c r="F259" s="143">
        <v>5.3E-3</v>
      </c>
    </row>
    <row r="260" spans="2:6" x14ac:dyDescent="0.2">
      <c r="B260" s="139" t="s">
        <v>88</v>
      </c>
      <c r="C260" s="140" t="s">
        <v>89</v>
      </c>
      <c r="D260" s="141">
        <v>5.5999999999999999E-3</v>
      </c>
      <c r="E260" s="142">
        <v>3.8999999999999998E-3</v>
      </c>
      <c r="F260" s="143">
        <v>5.3E-3</v>
      </c>
    </row>
    <row r="261" spans="2:6" x14ac:dyDescent="0.2">
      <c r="B261" s="139" t="s">
        <v>90</v>
      </c>
      <c r="C261" s="140" t="s">
        <v>91</v>
      </c>
      <c r="D261" s="141">
        <v>4.0000000000000001E-3</v>
      </c>
      <c r="E261" s="142">
        <v>3.8999999999999998E-3</v>
      </c>
      <c r="F261" s="143">
        <v>6.7000000000000002E-3</v>
      </c>
    </row>
    <row r="262" spans="2:6" x14ac:dyDescent="0.2">
      <c r="B262" s="139" t="s">
        <v>92</v>
      </c>
      <c r="C262" s="140" t="s">
        <v>93</v>
      </c>
      <c r="D262" s="141">
        <v>2E-3</v>
      </c>
      <c r="E262" s="142">
        <v>6.7000000000000002E-3</v>
      </c>
      <c r="F262" s="143">
        <v>7.6E-3</v>
      </c>
    </row>
    <row r="263" spans="2:6" x14ac:dyDescent="0.2">
      <c r="B263" s="139" t="s">
        <v>94</v>
      </c>
      <c r="C263" s="140" t="s">
        <v>95</v>
      </c>
      <c r="D263" s="141">
        <v>4.3E-3</v>
      </c>
      <c r="E263" s="142">
        <v>2.3E-3</v>
      </c>
      <c r="F263" s="143">
        <v>3.5999999999999999E-3</v>
      </c>
    </row>
    <row r="264" spans="2:6" x14ac:dyDescent="0.2">
      <c r="B264" s="139" t="s">
        <v>96</v>
      </c>
      <c r="C264" s="140" t="s">
        <v>97</v>
      </c>
      <c r="D264" s="141">
        <v>1.5E-3</v>
      </c>
      <c r="E264" s="142">
        <v>1.1000000000000001E-3</v>
      </c>
      <c r="F264" s="143">
        <v>1.9E-3</v>
      </c>
    </row>
    <row r="265" spans="2:6" x14ac:dyDescent="0.2">
      <c r="B265" s="139" t="s">
        <v>98</v>
      </c>
      <c r="C265" s="140" t="s">
        <v>99</v>
      </c>
      <c r="D265" s="141">
        <v>3.3999999999999998E-3</v>
      </c>
      <c r="E265" s="142">
        <v>1.5E-3</v>
      </c>
      <c r="F265" s="143">
        <v>1.5E-3</v>
      </c>
    </row>
    <row r="266" spans="2:6" x14ac:dyDescent="0.2">
      <c r="B266" s="139" t="s">
        <v>100</v>
      </c>
      <c r="C266" s="140" t="s">
        <v>101</v>
      </c>
      <c r="D266" s="141">
        <v>3.3E-3</v>
      </c>
      <c r="E266" s="142">
        <v>2.7000000000000001E-3</v>
      </c>
      <c r="F266" s="143">
        <v>3.0999999999999999E-3</v>
      </c>
    </row>
    <row r="267" spans="2:6" x14ac:dyDescent="0.2">
      <c r="B267" s="139" t="s">
        <v>102</v>
      </c>
      <c r="C267" s="140" t="s">
        <v>103</v>
      </c>
      <c r="D267" s="141">
        <v>4.0000000000000001E-3</v>
      </c>
      <c r="E267" s="142">
        <v>1.8E-3</v>
      </c>
      <c r="F267" s="143">
        <v>2.5999999999999999E-3</v>
      </c>
    </row>
    <row r="268" spans="2:6" x14ac:dyDescent="0.2">
      <c r="B268" s="139" t="s">
        <v>104</v>
      </c>
      <c r="C268" s="140" t="s">
        <v>105</v>
      </c>
      <c r="D268" s="141">
        <v>4.1000000000000003E-3</v>
      </c>
      <c r="E268" s="142">
        <v>2.3E-3</v>
      </c>
      <c r="F268" s="143">
        <v>3.0999999999999999E-3</v>
      </c>
    </row>
    <row r="269" spans="2:6" x14ac:dyDescent="0.2">
      <c r="B269" s="139" t="s">
        <v>106</v>
      </c>
      <c r="C269" s="140" t="s">
        <v>107</v>
      </c>
      <c r="D269" s="141">
        <v>3.3E-3</v>
      </c>
      <c r="E269" s="142">
        <v>1.5E-3</v>
      </c>
      <c r="F269" s="143">
        <v>1.5E-3</v>
      </c>
    </row>
    <row r="270" spans="2:6" x14ac:dyDescent="0.2">
      <c r="B270" s="139" t="s">
        <v>108</v>
      </c>
      <c r="C270" s="140" t="s">
        <v>109</v>
      </c>
      <c r="D270" s="141">
        <v>1.9E-3</v>
      </c>
      <c r="E270" s="142">
        <v>1.8E-3</v>
      </c>
      <c r="F270" s="143">
        <v>2.8E-3</v>
      </c>
    </row>
    <row r="271" spans="2:6" x14ac:dyDescent="0.2">
      <c r="B271" s="139" t="s">
        <v>110</v>
      </c>
      <c r="C271" s="140" t="s">
        <v>111</v>
      </c>
      <c r="D271" s="141">
        <v>3.5000000000000001E-3</v>
      </c>
      <c r="E271" s="142">
        <v>2.3999999999999998E-3</v>
      </c>
      <c r="F271" s="143">
        <v>4.4000000000000003E-3</v>
      </c>
    </row>
    <row r="272" spans="2:6" x14ac:dyDescent="0.2">
      <c r="B272" s="139" t="s">
        <v>112</v>
      </c>
      <c r="C272" s="140" t="s">
        <v>113</v>
      </c>
      <c r="D272" s="141">
        <v>3.3E-3</v>
      </c>
      <c r="E272" s="142">
        <v>1.1999999999999999E-3</v>
      </c>
      <c r="F272" s="143">
        <v>4.7999999999999996E-3</v>
      </c>
    </row>
    <row r="273" spans="2:6" x14ac:dyDescent="0.2">
      <c r="B273" s="139" t="s">
        <v>114</v>
      </c>
      <c r="C273" s="140" t="s">
        <v>115</v>
      </c>
      <c r="D273" s="141">
        <v>6.3E-3</v>
      </c>
      <c r="E273" s="142">
        <v>1.1000000000000001E-3</v>
      </c>
      <c r="F273" s="143">
        <v>1.4E-3</v>
      </c>
    </row>
    <row r="274" spans="2:6" x14ac:dyDescent="0.2">
      <c r="B274" s="139" t="s">
        <v>116</v>
      </c>
      <c r="C274" s="140" t="s">
        <v>117</v>
      </c>
      <c r="D274" s="141">
        <v>1.1299999999999999E-2</v>
      </c>
      <c r="E274" s="142">
        <v>3.8E-3</v>
      </c>
      <c r="F274" s="143">
        <v>4.7999999999999996E-3</v>
      </c>
    </row>
    <row r="275" spans="2:6" x14ac:dyDescent="0.2">
      <c r="B275" s="139" t="s">
        <v>118</v>
      </c>
      <c r="C275" s="140" t="s">
        <v>119</v>
      </c>
      <c r="D275" s="141">
        <v>5.7000000000000002E-3</v>
      </c>
      <c r="E275" s="142">
        <v>1.6000000000000001E-3</v>
      </c>
      <c r="F275" s="143">
        <v>2E-3</v>
      </c>
    </row>
    <row r="276" spans="2:6" x14ac:dyDescent="0.2">
      <c r="B276" s="139" t="s">
        <v>120</v>
      </c>
      <c r="C276" s="140" t="s">
        <v>121</v>
      </c>
      <c r="D276" s="141">
        <v>4.7000000000000002E-3</v>
      </c>
      <c r="E276" s="142">
        <v>2.2000000000000001E-3</v>
      </c>
      <c r="F276" s="143">
        <v>2.5000000000000001E-3</v>
      </c>
    </row>
    <row r="277" spans="2:6" x14ac:dyDescent="0.2">
      <c r="B277" s="139" t="s">
        <v>122</v>
      </c>
      <c r="C277" s="140" t="s">
        <v>123</v>
      </c>
      <c r="D277" s="141">
        <v>4.7999999999999996E-3</v>
      </c>
      <c r="E277" s="142">
        <v>1.6000000000000001E-3</v>
      </c>
      <c r="F277" s="143">
        <v>1.6999999999999999E-3</v>
      </c>
    </row>
    <row r="278" spans="2:6" x14ac:dyDescent="0.2">
      <c r="B278" s="139" t="s">
        <v>124</v>
      </c>
      <c r="C278" s="140" t="s">
        <v>125</v>
      </c>
      <c r="D278" s="141">
        <v>1.6999999999999999E-3</v>
      </c>
      <c r="E278" s="142">
        <v>1.5800000000000002E-2</v>
      </c>
      <c r="F278" s="143">
        <v>4.0599999999999997E-2</v>
      </c>
    </row>
    <row r="279" spans="2:6" x14ac:dyDescent="0.2">
      <c r="B279" s="139" t="s">
        <v>126</v>
      </c>
      <c r="C279" s="140" t="s">
        <v>127</v>
      </c>
      <c r="D279" s="141">
        <v>4.7999999999999996E-3</v>
      </c>
      <c r="E279" s="142">
        <v>6.1999999999999998E-3</v>
      </c>
      <c r="F279" s="143">
        <v>1.12E-2</v>
      </c>
    </row>
    <row r="280" spans="2:6" x14ac:dyDescent="0.2">
      <c r="B280" s="139" t="s">
        <v>128</v>
      </c>
      <c r="C280" s="140" t="s">
        <v>129</v>
      </c>
      <c r="D280" s="141">
        <v>3.5999999999999999E-3</v>
      </c>
      <c r="E280" s="142">
        <v>2.3E-3</v>
      </c>
      <c r="F280" s="143">
        <v>3.3E-3</v>
      </c>
    </row>
    <row r="281" spans="2:6" x14ac:dyDescent="0.2">
      <c r="B281" s="139" t="s">
        <v>130</v>
      </c>
      <c r="C281" s="140" t="s">
        <v>131</v>
      </c>
      <c r="D281" s="141">
        <v>6.6E-3</v>
      </c>
      <c r="E281" s="142">
        <v>3.5000000000000001E-3</v>
      </c>
      <c r="F281" s="143">
        <v>5.1000000000000004E-3</v>
      </c>
    </row>
    <row r="282" spans="2:6" x14ac:dyDescent="0.2">
      <c r="B282" s="139" t="s">
        <v>132</v>
      </c>
      <c r="C282" s="140" t="s">
        <v>133</v>
      </c>
      <c r="D282" s="141">
        <v>1.38E-2</v>
      </c>
      <c r="E282" s="142">
        <v>6.1999999999999998E-3</v>
      </c>
      <c r="F282" s="143">
        <v>8.0000000000000002E-3</v>
      </c>
    </row>
    <row r="283" spans="2:6" x14ac:dyDescent="0.2">
      <c r="B283" s="139" t="s">
        <v>134</v>
      </c>
      <c r="C283" s="140" t="s">
        <v>135</v>
      </c>
      <c r="D283" s="141">
        <v>1.9599999999999999E-2</v>
      </c>
      <c r="E283" s="142">
        <v>1.2500000000000001E-2</v>
      </c>
      <c r="F283" s="143">
        <v>1.2500000000000001E-2</v>
      </c>
    </row>
    <row r="284" spans="2:6" x14ac:dyDescent="0.2">
      <c r="B284" s="139" t="s">
        <v>136</v>
      </c>
      <c r="C284" s="140" t="s">
        <v>137</v>
      </c>
      <c r="D284" s="141">
        <v>1.5800000000000002E-2</v>
      </c>
      <c r="E284" s="142">
        <v>7.1999999999999998E-3</v>
      </c>
      <c r="F284" s="143">
        <v>7.1999999999999998E-3</v>
      </c>
    </row>
    <row r="285" spans="2:6" x14ac:dyDescent="0.2">
      <c r="B285" s="139" t="s">
        <v>138</v>
      </c>
      <c r="C285" s="140" t="s">
        <v>139</v>
      </c>
      <c r="D285" s="141">
        <v>1.2200000000000001E-2</v>
      </c>
      <c r="E285" s="142">
        <v>3.5000000000000001E-3</v>
      </c>
      <c r="F285" s="143">
        <v>1.1000000000000001E-3</v>
      </c>
    </row>
    <row r="286" spans="2:6" x14ac:dyDescent="0.2">
      <c r="B286" s="139" t="s">
        <v>140</v>
      </c>
      <c r="C286" s="140" t="s">
        <v>141</v>
      </c>
      <c r="D286" s="141">
        <v>1.01E-2</v>
      </c>
      <c r="E286" s="142">
        <v>1.6400000000000001E-2</v>
      </c>
      <c r="F286" s="143">
        <v>1.3100000000000001E-2</v>
      </c>
    </row>
    <row r="287" spans="2:6" x14ac:dyDescent="0.2">
      <c r="B287" s="139" t="s">
        <v>142</v>
      </c>
      <c r="C287" s="140" t="s">
        <v>143</v>
      </c>
      <c r="D287" s="141">
        <v>7.3000000000000001E-3</v>
      </c>
      <c r="E287" s="142">
        <v>1E-3</v>
      </c>
      <c r="F287" s="143">
        <v>1E-3</v>
      </c>
    </row>
    <row r="288" spans="2:6" x14ac:dyDescent="0.2">
      <c r="B288" s="139" t="s">
        <v>144</v>
      </c>
      <c r="C288" s="140" t="s">
        <v>145</v>
      </c>
      <c r="D288" s="141">
        <v>2E-3</v>
      </c>
      <c r="E288" s="142">
        <v>4.0000000000000002E-4</v>
      </c>
      <c r="F288" s="143">
        <v>2.0000000000000001E-4</v>
      </c>
    </row>
    <row r="289" spans="2:6" x14ac:dyDescent="0.2">
      <c r="B289" s="139" t="s">
        <v>146</v>
      </c>
      <c r="C289" s="140" t="s">
        <v>147</v>
      </c>
      <c r="D289" s="141">
        <v>0</v>
      </c>
      <c r="E289" s="142">
        <v>4.0000000000000002E-4</v>
      </c>
      <c r="F289" s="143">
        <v>2.0000000000000001E-4</v>
      </c>
    </row>
    <row r="290" spans="2:6" x14ac:dyDescent="0.2">
      <c r="B290" s="139" t="s">
        <v>148</v>
      </c>
      <c r="C290" s="140" t="s">
        <v>149</v>
      </c>
      <c r="D290" s="141">
        <v>6.1999999999999998E-3</v>
      </c>
      <c r="E290" s="142">
        <v>1E-3</v>
      </c>
      <c r="F290" s="143">
        <v>6.9999999999999999E-4</v>
      </c>
    </row>
    <row r="291" spans="2:6" x14ac:dyDescent="0.2">
      <c r="B291" s="139" t="s">
        <v>150</v>
      </c>
      <c r="C291" s="140" t="s">
        <v>151</v>
      </c>
      <c r="D291" s="141">
        <v>5.1000000000000004E-3</v>
      </c>
      <c r="E291" s="142">
        <v>1.1000000000000001E-3</v>
      </c>
      <c r="F291" s="143">
        <v>2.9999999999999997E-4</v>
      </c>
    </row>
    <row r="292" spans="2:6" x14ac:dyDescent="0.2">
      <c r="B292" s="139" t="s">
        <v>152</v>
      </c>
      <c r="C292" s="140" t="s">
        <v>153</v>
      </c>
      <c r="D292" s="141">
        <v>6.7000000000000002E-3</v>
      </c>
      <c r="E292" s="142">
        <v>1.2999999999999999E-3</v>
      </c>
      <c r="F292" s="143">
        <v>2.2000000000000001E-3</v>
      </c>
    </row>
    <row r="293" spans="2:6" x14ac:dyDescent="0.2">
      <c r="B293" s="139" t="s">
        <v>154</v>
      </c>
      <c r="C293" s="140" t="s">
        <v>155</v>
      </c>
      <c r="D293" s="141">
        <v>1.49E-2</v>
      </c>
      <c r="E293" s="142">
        <v>2.69E-2</v>
      </c>
      <c r="F293" s="143">
        <v>1.34E-2</v>
      </c>
    </row>
    <row r="294" spans="2:6" x14ac:dyDescent="0.2">
      <c r="B294" s="139" t="s">
        <v>156</v>
      </c>
      <c r="C294" s="140" t="s">
        <v>157</v>
      </c>
      <c r="D294" s="141">
        <v>7.3000000000000001E-3</v>
      </c>
      <c r="E294" s="142">
        <v>5.9999999999999995E-4</v>
      </c>
      <c r="F294" s="143">
        <v>5.9999999999999995E-4</v>
      </c>
    </row>
    <row r="295" spans="2:6" x14ac:dyDescent="0.2">
      <c r="B295" s="139" t="s">
        <v>158</v>
      </c>
      <c r="C295" s="140" t="s">
        <v>159</v>
      </c>
      <c r="D295" s="141">
        <v>2.7000000000000001E-3</v>
      </c>
      <c r="E295" s="142">
        <v>2E-3</v>
      </c>
      <c r="F295" s="143">
        <v>2.7000000000000001E-3</v>
      </c>
    </row>
    <row r="296" spans="2:6" x14ac:dyDescent="0.2">
      <c r="B296" s="128"/>
      <c r="C296" s="89"/>
      <c r="D296" s="155"/>
      <c r="E296" s="5"/>
      <c r="F296" s="29"/>
    </row>
    <row r="297" spans="2:6" collapsed="1" x14ac:dyDescent="0.2"/>
    <row r="298" spans="2:6" s="93" customFormat="1" ht="18" customHeight="1" x14ac:dyDescent="0.2">
      <c r="B298" s="284" t="s">
        <v>160</v>
      </c>
      <c r="C298" s="285"/>
      <c r="D298" s="285"/>
      <c r="E298" s="285"/>
      <c r="F298" s="286"/>
    </row>
    <row r="299" spans="2:6" x14ac:dyDescent="0.2">
      <c r="B299" s="129"/>
      <c r="C299" s="101"/>
      <c r="D299" s="130"/>
      <c r="E299" s="9"/>
      <c r="F299" s="8"/>
    </row>
    <row r="300" spans="2:6" s="260" customFormat="1" ht="18" customHeight="1" x14ac:dyDescent="0.3">
      <c r="B300" s="261" t="s">
        <v>24</v>
      </c>
      <c r="C300" s="258"/>
      <c r="D300" s="262" t="s">
        <v>236</v>
      </c>
      <c r="E300" s="263" t="s">
        <v>15</v>
      </c>
      <c r="F300" s="264" t="s">
        <v>234</v>
      </c>
    </row>
    <row r="301" spans="2:6" x14ac:dyDescent="0.2">
      <c r="B301" s="149" t="s">
        <v>26</v>
      </c>
      <c r="C301" s="150" t="s">
        <v>161</v>
      </c>
      <c r="D301" s="151">
        <v>2.1399999999999999E-2</v>
      </c>
      <c r="E301" s="185">
        <v>1.89E-2</v>
      </c>
      <c r="F301" s="161">
        <v>8.5000000000000006E-3</v>
      </c>
    </row>
    <row r="302" spans="2:6" x14ac:dyDescent="0.2">
      <c r="B302" s="189" t="s">
        <v>239</v>
      </c>
      <c r="C302" s="153" t="s">
        <v>162</v>
      </c>
      <c r="D302" s="151">
        <v>7.4700000000000003E-2</v>
      </c>
      <c r="E302" s="186">
        <v>6.0600000000000001E-2</v>
      </c>
      <c r="F302" s="182">
        <v>2.3099999999999999E-2</v>
      </c>
    </row>
    <row r="303" spans="2:6" x14ac:dyDescent="0.2">
      <c r="B303" s="189" t="s">
        <v>240</v>
      </c>
      <c r="C303" s="153" t="s">
        <v>163</v>
      </c>
      <c r="D303" s="151">
        <v>9.7999999999999997E-3</v>
      </c>
      <c r="E303" s="187">
        <v>1.0200000000000001E-2</v>
      </c>
      <c r="F303" s="183">
        <v>5.8999999999999999E-3</v>
      </c>
    </row>
    <row r="304" spans="2:6" x14ac:dyDescent="0.2">
      <c r="B304" s="152" t="s">
        <v>28</v>
      </c>
      <c r="C304" s="153" t="s">
        <v>29</v>
      </c>
      <c r="D304" s="154">
        <v>2.86E-2</v>
      </c>
      <c r="E304" s="188">
        <v>6.3E-3</v>
      </c>
      <c r="F304" s="184">
        <v>1.2699999999999999E-2</v>
      </c>
    </row>
    <row r="305" spans="2:6" x14ac:dyDescent="0.2">
      <c r="B305" s="152" t="s">
        <v>30</v>
      </c>
      <c r="C305" s="153" t="s">
        <v>164</v>
      </c>
      <c r="D305" s="154">
        <v>4.7199999999999999E-2</v>
      </c>
      <c r="E305" s="188">
        <v>1.8200000000000001E-2</v>
      </c>
      <c r="F305" s="184">
        <v>1.5800000000000002E-2</v>
      </c>
    </row>
    <row r="306" spans="2:6" x14ac:dyDescent="0.2">
      <c r="B306" s="190" t="s">
        <v>241</v>
      </c>
      <c r="C306" s="153" t="s">
        <v>165</v>
      </c>
      <c r="D306" s="154">
        <v>0.1283</v>
      </c>
      <c r="E306" s="186">
        <v>6.0699999999999997E-2</v>
      </c>
      <c r="F306" s="182">
        <v>5.4800000000000001E-2</v>
      </c>
    </row>
    <row r="307" spans="2:6" x14ac:dyDescent="0.2">
      <c r="B307" s="190" t="s">
        <v>242</v>
      </c>
      <c r="C307" s="153" t="s">
        <v>166</v>
      </c>
      <c r="D307" s="154">
        <v>4.1200000000000001E-2</v>
      </c>
      <c r="E307" s="187">
        <v>1.47E-2</v>
      </c>
      <c r="F307" s="183">
        <v>1.32E-2</v>
      </c>
    </row>
    <row r="308" spans="2:6" x14ac:dyDescent="0.2">
      <c r="B308" s="152" t="s">
        <v>32</v>
      </c>
      <c r="C308" s="153" t="s">
        <v>33</v>
      </c>
      <c r="D308" s="154">
        <v>5.9999999999999995E-4</v>
      </c>
      <c r="E308" s="188">
        <v>6.3E-3</v>
      </c>
      <c r="F308" s="184">
        <v>5.7999999999999996E-3</v>
      </c>
    </row>
    <row r="309" spans="2:6" x14ac:dyDescent="0.2">
      <c r="B309" s="152" t="s">
        <v>34</v>
      </c>
      <c r="C309" s="153" t="s">
        <v>35</v>
      </c>
      <c r="D309" s="154">
        <v>2.7E-2</v>
      </c>
      <c r="E309" s="186">
        <v>1.4999999999999999E-2</v>
      </c>
      <c r="F309" s="182">
        <v>1.4999999999999999E-2</v>
      </c>
    </row>
    <row r="310" spans="2:6" x14ac:dyDescent="0.2">
      <c r="B310" s="152" t="s">
        <v>36</v>
      </c>
      <c r="C310" s="153" t="s">
        <v>37</v>
      </c>
      <c r="D310" s="154">
        <v>4.0899999999999999E-2</v>
      </c>
      <c r="E310" s="188">
        <v>9.1999999999999998E-3</v>
      </c>
      <c r="F310" s="184">
        <v>2.3999999999999998E-3</v>
      </c>
    </row>
    <row r="311" spans="2:6" x14ac:dyDescent="0.2">
      <c r="B311" s="152" t="s">
        <v>38</v>
      </c>
      <c r="C311" s="159" t="s">
        <v>227</v>
      </c>
      <c r="D311" s="154">
        <v>2.8899999999999999E-2</v>
      </c>
      <c r="E311" s="186">
        <v>2.0400000000000001E-2</v>
      </c>
      <c r="F311" s="182">
        <v>7.9000000000000008E-3</v>
      </c>
    </row>
    <row r="312" spans="2:6" x14ac:dyDescent="0.2">
      <c r="B312" s="152" t="s">
        <v>40</v>
      </c>
      <c r="C312" s="153" t="s">
        <v>41</v>
      </c>
      <c r="D312" s="154">
        <v>2.2499999999999999E-2</v>
      </c>
      <c r="E312" s="188">
        <v>1.14E-2</v>
      </c>
      <c r="F312" s="184">
        <v>1.1900000000000001E-2</v>
      </c>
    </row>
    <row r="313" spans="2:6" x14ac:dyDescent="0.2">
      <c r="B313" s="152" t="s">
        <v>42</v>
      </c>
      <c r="C313" s="153" t="s">
        <v>167</v>
      </c>
      <c r="D313" s="154">
        <v>3.8800000000000001E-2</v>
      </c>
      <c r="E313" s="186">
        <v>2.1999999999999999E-2</v>
      </c>
      <c r="F313" s="182">
        <v>1.5900000000000001E-2</v>
      </c>
    </row>
    <row r="314" spans="2:6" x14ac:dyDescent="0.2">
      <c r="B314" s="190" t="s">
        <v>243</v>
      </c>
      <c r="C314" s="156" t="s">
        <v>168</v>
      </c>
      <c r="D314" s="154">
        <v>3.8399999999999997E-2</v>
      </c>
      <c r="E314" s="187">
        <v>2.1999999999999999E-2</v>
      </c>
      <c r="F314" s="183">
        <v>1.5900000000000001E-2</v>
      </c>
    </row>
    <row r="315" spans="2:6" x14ac:dyDescent="0.2">
      <c r="B315" s="190" t="s">
        <v>244</v>
      </c>
      <c r="C315" s="153" t="s">
        <v>169</v>
      </c>
      <c r="D315" s="154">
        <v>5.4100000000000002E-2</v>
      </c>
      <c r="E315" s="188">
        <v>2.18E-2</v>
      </c>
      <c r="F315" s="184">
        <v>1.5900000000000001E-2</v>
      </c>
    </row>
    <row r="316" spans="2:6" x14ac:dyDescent="0.2">
      <c r="B316" s="152" t="s">
        <v>44</v>
      </c>
      <c r="C316" s="153" t="s">
        <v>45</v>
      </c>
      <c r="D316" s="154">
        <v>1.0800000000000001E-2</v>
      </c>
      <c r="E316" s="188">
        <v>9.1000000000000004E-3</v>
      </c>
      <c r="F316" s="184">
        <v>7.3000000000000001E-3</v>
      </c>
    </row>
    <row r="317" spans="2:6" x14ac:dyDescent="0.2">
      <c r="B317" s="152" t="s">
        <v>46</v>
      </c>
      <c r="C317" s="153" t="s">
        <v>47</v>
      </c>
      <c r="D317" s="154">
        <v>1.03E-2</v>
      </c>
      <c r="E317" s="188">
        <v>1.34E-2</v>
      </c>
      <c r="F317" s="184">
        <v>1.37E-2</v>
      </c>
    </row>
    <row r="318" spans="2:6" x14ac:dyDescent="0.2">
      <c r="B318" s="152" t="s">
        <v>48</v>
      </c>
      <c r="C318" s="153" t="s">
        <v>49</v>
      </c>
      <c r="D318" s="154">
        <v>1.9699999999999999E-2</v>
      </c>
      <c r="E318" s="188">
        <v>1.3100000000000001E-2</v>
      </c>
      <c r="F318" s="184">
        <v>7.0000000000000001E-3</v>
      </c>
    </row>
    <row r="319" spans="2:6" x14ac:dyDescent="0.2">
      <c r="B319" s="152" t="s">
        <v>50</v>
      </c>
      <c r="C319" s="153" t="s">
        <v>51</v>
      </c>
      <c r="D319" s="154">
        <v>2.0199999999999999E-2</v>
      </c>
      <c r="E319" s="188">
        <v>1.5800000000000002E-2</v>
      </c>
      <c r="F319" s="184">
        <v>1.2200000000000001E-2</v>
      </c>
    </row>
    <row r="320" spans="2:6" x14ac:dyDescent="0.2">
      <c r="B320" s="152" t="s">
        <v>52</v>
      </c>
      <c r="C320" s="153" t="s">
        <v>53</v>
      </c>
      <c r="D320" s="154">
        <v>1.6500000000000001E-2</v>
      </c>
      <c r="E320" s="188">
        <v>6.6E-3</v>
      </c>
      <c r="F320" s="184">
        <v>7.4999999999999997E-3</v>
      </c>
    </row>
    <row r="321" spans="2:6" x14ac:dyDescent="0.2">
      <c r="B321" s="152" t="s">
        <v>54</v>
      </c>
      <c r="C321" s="153" t="s">
        <v>55</v>
      </c>
      <c r="D321" s="154">
        <v>1.8800000000000001E-2</v>
      </c>
      <c r="E321" s="188">
        <v>1.38E-2</v>
      </c>
      <c r="F321" s="184">
        <v>1.38E-2</v>
      </c>
    </row>
    <row r="322" spans="2:6" x14ac:dyDescent="0.2">
      <c r="B322" s="152" t="s">
        <v>56</v>
      </c>
      <c r="C322" s="153" t="s">
        <v>57</v>
      </c>
      <c r="D322" s="154">
        <v>1.7999999999999999E-2</v>
      </c>
      <c r="E322" s="188">
        <v>1.2E-2</v>
      </c>
      <c r="F322" s="184">
        <v>1.4999999999999999E-2</v>
      </c>
    </row>
    <row r="323" spans="2:6" x14ac:dyDescent="0.2">
      <c r="B323" s="152" t="s">
        <v>58</v>
      </c>
      <c r="C323" s="153" t="s">
        <v>59</v>
      </c>
      <c r="D323" s="154">
        <v>3.2899999999999999E-2</v>
      </c>
      <c r="E323" s="186">
        <v>2.3099999999999999E-2</v>
      </c>
      <c r="F323" s="182">
        <v>2.06E-2</v>
      </c>
    </row>
    <row r="324" spans="2:6" x14ac:dyDescent="0.2">
      <c r="B324" s="152" t="s">
        <v>60</v>
      </c>
      <c r="C324" s="153" t="s">
        <v>61</v>
      </c>
      <c r="D324" s="154">
        <v>3.5499999999999997E-2</v>
      </c>
      <c r="E324" s="187">
        <v>2.5000000000000001E-2</v>
      </c>
      <c r="F324" s="183">
        <v>0.02</v>
      </c>
    </row>
    <row r="325" spans="2:6" x14ac:dyDescent="0.2">
      <c r="B325" s="152" t="s">
        <v>62</v>
      </c>
      <c r="C325" s="153" t="s">
        <v>63</v>
      </c>
      <c r="D325" s="154">
        <v>1.84E-2</v>
      </c>
      <c r="E325" s="188">
        <v>1.55E-2</v>
      </c>
      <c r="F325" s="184">
        <v>2.47E-2</v>
      </c>
    </row>
    <row r="326" spans="2:6" x14ac:dyDescent="0.2">
      <c r="B326" s="152" t="s">
        <v>64</v>
      </c>
      <c r="C326" s="153" t="s">
        <v>65</v>
      </c>
      <c r="D326" s="154">
        <v>3.6499999999999998E-2</v>
      </c>
      <c r="E326" s="188">
        <v>3.2899999999999999E-2</v>
      </c>
      <c r="F326" s="184">
        <v>2.3400000000000001E-2</v>
      </c>
    </row>
    <row r="327" spans="2:6" x14ac:dyDescent="0.2">
      <c r="B327" s="152" t="s">
        <v>66</v>
      </c>
      <c r="C327" s="153" t="s">
        <v>67</v>
      </c>
      <c r="D327" s="154">
        <v>1.47E-2</v>
      </c>
      <c r="E327" s="188">
        <v>9.4999999999999998E-3</v>
      </c>
      <c r="F327" s="184">
        <v>1.1599999999999999E-2</v>
      </c>
    </row>
    <row r="328" spans="2:6" x14ac:dyDescent="0.2">
      <c r="B328" s="152" t="s">
        <v>68</v>
      </c>
      <c r="C328" s="153" t="s">
        <v>69</v>
      </c>
      <c r="D328" s="154">
        <v>1.32E-2</v>
      </c>
      <c r="E328" s="188">
        <v>1.5100000000000001E-2</v>
      </c>
      <c r="F328" s="184">
        <v>9.4000000000000004E-3</v>
      </c>
    </row>
    <row r="329" spans="2:6" x14ac:dyDescent="0.2">
      <c r="B329" s="152" t="s">
        <v>70</v>
      </c>
      <c r="C329" s="153" t="s">
        <v>71</v>
      </c>
      <c r="D329" s="154">
        <v>0.01</v>
      </c>
      <c r="E329" s="188">
        <v>8.0000000000000002E-3</v>
      </c>
      <c r="F329" s="184">
        <v>1.61E-2</v>
      </c>
    </row>
    <row r="330" spans="2:6" x14ac:dyDescent="0.2">
      <c r="B330" s="152" t="s">
        <v>72</v>
      </c>
      <c r="C330" s="153" t="s">
        <v>73</v>
      </c>
      <c r="D330" s="154">
        <v>5.1999999999999998E-3</v>
      </c>
      <c r="E330" s="186">
        <v>7.6E-3</v>
      </c>
      <c r="F330" s="182">
        <v>9.2999999999999992E-3</v>
      </c>
    </row>
    <row r="331" spans="2:6" x14ac:dyDescent="0.2">
      <c r="B331" s="152" t="s">
        <v>74</v>
      </c>
      <c r="C331" s="153" t="s">
        <v>75</v>
      </c>
      <c r="D331" s="154">
        <v>2.3E-3</v>
      </c>
      <c r="E331" s="187">
        <v>3.5000000000000001E-3</v>
      </c>
      <c r="F331" s="183">
        <v>9.2999999999999992E-3</v>
      </c>
    </row>
    <row r="332" spans="2:6" x14ac:dyDescent="0.2">
      <c r="B332" s="152" t="s">
        <v>76</v>
      </c>
      <c r="C332" s="153" t="s">
        <v>77</v>
      </c>
      <c r="D332" s="154">
        <v>5.1000000000000004E-3</v>
      </c>
      <c r="E332" s="187">
        <v>2.3999999999999998E-3</v>
      </c>
      <c r="F332" s="183">
        <v>3.5000000000000001E-3</v>
      </c>
    </row>
    <row r="333" spans="2:6" x14ac:dyDescent="0.2">
      <c r="B333" s="152" t="s">
        <v>78</v>
      </c>
      <c r="C333" s="153" t="s">
        <v>79</v>
      </c>
      <c r="D333" s="154">
        <v>3.3399999999999999E-2</v>
      </c>
      <c r="E333" s="187">
        <v>1.6899999999999998E-2</v>
      </c>
      <c r="F333" s="183">
        <v>2.58E-2</v>
      </c>
    </row>
    <row r="334" spans="2:6" x14ac:dyDescent="0.2">
      <c r="B334" s="152" t="s">
        <v>80</v>
      </c>
      <c r="C334" s="153" t="s">
        <v>81</v>
      </c>
      <c r="D334" s="154">
        <v>5.74E-2</v>
      </c>
      <c r="E334" s="188">
        <v>5.7299999999999997E-2</v>
      </c>
      <c r="F334" s="184">
        <v>4.9200000000000001E-2</v>
      </c>
    </row>
    <row r="335" spans="2:6" x14ac:dyDescent="0.2">
      <c r="B335" s="152" t="s">
        <v>82</v>
      </c>
      <c r="C335" s="153" t="s">
        <v>83</v>
      </c>
      <c r="D335" s="154">
        <v>1.09E-2</v>
      </c>
      <c r="E335" s="186">
        <v>9.5999999999999992E-3</v>
      </c>
      <c r="F335" s="182">
        <v>5.4000000000000003E-3</v>
      </c>
    </row>
    <row r="336" spans="2:6" x14ac:dyDescent="0.2">
      <c r="B336" s="152" t="s">
        <v>84</v>
      </c>
      <c r="C336" s="153" t="s">
        <v>85</v>
      </c>
      <c r="D336" s="154">
        <v>4.9700000000000001E-2</v>
      </c>
      <c r="E336" s="187">
        <v>2.4E-2</v>
      </c>
      <c r="F336" s="183">
        <v>2.3E-2</v>
      </c>
    </row>
    <row r="337" spans="2:6" x14ac:dyDescent="0.2">
      <c r="B337" s="152" t="s">
        <v>86</v>
      </c>
      <c r="C337" s="153" t="s">
        <v>87</v>
      </c>
      <c r="D337" s="154">
        <v>1.9E-2</v>
      </c>
      <c r="E337" s="187">
        <v>3.4000000000000002E-2</v>
      </c>
      <c r="F337" s="183">
        <v>3.6700000000000003E-2</v>
      </c>
    </row>
    <row r="338" spans="2:6" x14ac:dyDescent="0.2">
      <c r="B338" s="152" t="s">
        <v>88</v>
      </c>
      <c r="C338" s="153" t="s">
        <v>89</v>
      </c>
      <c r="D338" s="154">
        <v>1.66E-2</v>
      </c>
      <c r="E338" s="187">
        <v>1.15E-2</v>
      </c>
      <c r="F338" s="183">
        <v>9.1999999999999998E-3</v>
      </c>
    </row>
    <row r="339" spans="2:6" x14ac:dyDescent="0.2">
      <c r="B339" s="152" t="s">
        <v>90</v>
      </c>
      <c r="C339" s="153" t="s">
        <v>170</v>
      </c>
      <c r="D339" s="154">
        <v>2.86E-2</v>
      </c>
      <c r="E339" s="188">
        <v>2.3699999999999999E-2</v>
      </c>
      <c r="F339" s="184">
        <v>1.5800000000000002E-2</v>
      </c>
    </row>
    <row r="340" spans="2:6" x14ac:dyDescent="0.2">
      <c r="B340" s="190" t="s">
        <v>245</v>
      </c>
      <c r="C340" s="153" t="s">
        <v>171</v>
      </c>
      <c r="D340" s="154">
        <v>5.8200000000000002E-2</v>
      </c>
      <c r="E340" s="188">
        <v>5.5599999999999997E-2</v>
      </c>
      <c r="F340" s="184">
        <v>3.1E-2</v>
      </c>
    </row>
    <row r="341" spans="2:6" x14ac:dyDescent="0.2">
      <c r="B341" s="190" t="s">
        <v>246</v>
      </c>
      <c r="C341" s="153" t="s">
        <v>172</v>
      </c>
      <c r="D341" s="154">
        <v>1.4500000000000001E-2</v>
      </c>
      <c r="E341" s="188">
        <v>1.32E-2</v>
      </c>
      <c r="F341" s="184">
        <v>8.2000000000000007E-3</v>
      </c>
    </row>
    <row r="342" spans="2:6" x14ac:dyDescent="0.2">
      <c r="B342" s="152" t="s">
        <v>92</v>
      </c>
      <c r="C342" s="153" t="s">
        <v>93</v>
      </c>
      <c r="D342" s="154">
        <v>2.69E-2</v>
      </c>
      <c r="E342" s="186">
        <v>2.06E-2</v>
      </c>
      <c r="F342" s="182">
        <v>1.78E-2</v>
      </c>
    </row>
    <row r="343" spans="2:6" x14ac:dyDescent="0.2">
      <c r="B343" s="152" t="s">
        <v>94</v>
      </c>
      <c r="C343" s="153" t="s">
        <v>95</v>
      </c>
      <c r="D343" s="154">
        <v>2.0500000000000001E-2</v>
      </c>
      <c r="E343" s="188">
        <v>1.72E-2</v>
      </c>
      <c r="F343" s="184">
        <v>9.4000000000000004E-3</v>
      </c>
    </row>
    <row r="344" spans="2:6" x14ac:dyDescent="0.2">
      <c r="B344" s="152" t="s">
        <v>96</v>
      </c>
      <c r="C344" s="153" t="s">
        <v>97</v>
      </c>
      <c r="D344" s="154">
        <v>2.5700000000000001E-2</v>
      </c>
      <c r="E344" s="188">
        <v>1.37E-2</v>
      </c>
      <c r="F344" s="184">
        <v>1.38E-2</v>
      </c>
    </row>
    <row r="345" spans="2:6" x14ac:dyDescent="0.2">
      <c r="B345" s="152" t="s">
        <v>98</v>
      </c>
      <c r="C345" s="153" t="s">
        <v>99</v>
      </c>
      <c r="D345" s="154">
        <v>1.4500000000000001E-2</v>
      </c>
      <c r="E345" s="186">
        <v>1.7899999999999999E-2</v>
      </c>
      <c r="F345" s="182">
        <v>1.47E-2</v>
      </c>
    </row>
    <row r="346" spans="2:6" x14ac:dyDescent="0.2">
      <c r="B346" s="152" t="s">
        <v>100</v>
      </c>
      <c r="C346" s="153" t="s">
        <v>101</v>
      </c>
      <c r="D346" s="154">
        <v>3.6400000000000002E-2</v>
      </c>
      <c r="E346" s="188">
        <v>2.7699999999999999E-2</v>
      </c>
      <c r="F346" s="184">
        <v>3.5099999999999999E-2</v>
      </c>
    </row>
    <row r="347" spans="2:6" x14ac:dyDescent="0.2">
      <c r="B347" s="152" t="s">
        <v>102</v>
      </c>
      <c r="C347" s="153" t="s">
        <v>103</v>
      </c>
      <c r="D347" s="154">
        <v>1.67E-2</v>
      </c>
      <c r="E347" s="188">
        <v>1.38E-2</v>
      </c>
      <c r="F347" s="184">
        <v>1.2999999999999999E-2</v>
      </c>
    </row>
    <row r="348" spans="2:6" x14ac:dyDescent="0.2">
      <c r="B348" s="152" t="s">
        <v>104</v>
      </c>
      <c r="C348" s="153" t="s">
        <v>105</v>
      </c>
      <c r="D348" s="154">
        <v>1.9300000000000001E-2</v>
      </c>
      <c r="E348" s="188">
        <v>1.77E-2</v>
      </c>
      <c r="F348" s="184">
        <v>1.4500000000000001E-2</v>
      </c>
    </row>
    <row r="349" spans="2:6" x14ac:dyDescent="0.2">
      <c r="B349" s="152" t="s">
        <v>106</v>
      </c>
      <c r="C349" s="153" t="s">
        <v>107</v>
      </c>
      <c r="D349" s="154">
        <v>1.0999999999999999E-2</v>
      </c>
      <c r="E349" s="188">
        <v>0.01</v>
      </c>
      <c r="F349" s="184">
        <v>1.01E-2</v>
      </c>
    </row>
    <row r="350" spans="2:6" x14ac:dyDescent="0.2">
      <c r="B350" s="152" t="s">
        <v>108</v>
      </c>
      <c r="C350" s="153" t="s">
        <v>109</v>
      </c>
      <c r="D350" s="154">
        <v>1.5900000000000001E-2</v>
      </c>
      <c r="E350" s="186">
        <v>1.32E-2</v>
      </c>
      <c r="F350" s="182">
        <v>1.2200000000000001E-2</v>
      </c>
    </row>
    <row r="351" spans="2:6" x14ac:dyDescent="0.2">
      <c r="B351" s="152" t="s">
        <v>110</v>
      </c>
      <c r="C351" s="153" t="s">
        <v>111</v>
      </c>
      <c r="D351" s="154">
        <v>2.1299999999999999E-2</v>
      </c>
      <c r="E351" s="187">
        <v>2.0500000000000001E-2</v>
      </c>
      <c r="F351" s="183">
        <v>1.4800000000000001E-2</v>
      </c>
    </row>
    <row r="352" spans="2:6" x14ac:dyDescent="0.2">
      <c r="B352" s="152" t="s">
        <v>112</v>
      </c>
      <c r="C352" s="153" t="s">
        <v>113</v>
      </c>
      <c r="D352" s="154">
        <v>7.3000000000000001E-3</v>
      </c>
      <c r="E352" s="187">
        <v>1.6199999999999999E-2</v>
      </c>
      <c r="F352" s="183">
        <v>9.9000000000000008E-3</v>
      </c>
    </row>
    <row r="353" spans="2:6" x14ac:dyDescent="0.2">
      <c r="B353" s="152" t="s">
        <v>114</v>
      </c>
      <c r="C353" s="153" t="s">
        <v>115</v>
      </c>
      <c r="D353" s="154">
        <v>9.5999999999999992E-3</v>
      </c>
      <c r="E353" s="187">
        <v>1.35E-2</v>
      </c>
      <c r="F353" s="183">
        <v>1.9800000000000002E-2</v>
      </c>
    </row>
    <row r="354" spans="2:6" x14ac:dyDescent="0.2">
      <c r="B354" s="152" t="s">
        <v>116</v>
      </c>
      <c r="C354" s="153" t="s">
        <v>117</v>
      </c>
      <c r="D354" s="154">
        <v>3.0800000000000001E-2</v>
      </c>
      <c r="E354" s="187">
        <v>1.0800000000000001E-2</v>
      </c>
      <c r="F354" s="183">
        <v>8.8000000000000005E-3</v>
      </c>
    </row>
    <row r="355" spans="2:6" x14ac:dyDescent="0.2">
      <c r="B355" s="152" t="s">
        <v>118</v>
      </c>
      <c r="C355" s="153" t="s">
        <v>119</v>
      </c>
      <c r="D355" s="154">
        <v>8.9999999999999993E-3</v>
      </c>
      <c r="E355" s="188">
        <v>9.9000000000000008E-3</v>
      </c>
      <c r="F355" s="184">
        <v>8.3999999999999995E-3</v>
      </c>
    </row>
    <row r="356" spans="2:6" x14ac:dyDescent="0.2">
      <c r="B356" s="152" t="s">
        <v>120</v>
      </c>
      <c r="C356" s="153" t="s">
        <v>121</v>
      </c>
      <c r="D356" s="154">
        <v>1.0800000000000001E-2</v>
      </c>
      <c r="E356" s="188">
        <v>1.2E-2</v>
      </c>
      <c r="F356" s="184">
        <v>8.5000000000000006E-3</v>
      </c>
    </row>
    <row r="357" spans="2:6" x14ac:dyDescent="0.2">
      <c r="B357" s="152" t="s">
        <v>122</v>
      </c>
      <c r="C357" s="153" t="s">
        <v>123</v>
      </c>
      <c r="D357" s="154">
        <v>6.7000000000000002E-3</v>
      </c>
      <c r="E357" s="186">
        <v>1.0500000000000001E-2</v>
      </c>
      <c r="F357" s="182">
        <v>1.1900000000000001E-2</v>
      </c>
    </row>
    <row r="358" spans="2:6" x14ac:dyDescent="0.2">
      <c r="B358" s="152" t="s">
        <v>124</v>
      </c>
      <c r="C358" s="153" t="s">
        <v>173</v>
      </c>
      <c r="D358" s="154">
        <v>5.2499999999999998E-2</v>
      </c>
      <c r="E358" s="187">
        <v>5.5899999999999998E-2</v>
      </c>
      <c r="F358" s="183">
        <v>4.07E-2</v>
      </c>
    </row>
    <row r="359" spans="2:6" x14ac:dyDescent="0.2">
      <c r="B359" s="191" t="s">
        <v>247</v>
      </c>
      <c r="C359" s="153" t="s">
        <v>174</v>
      </c>
      <c r="D359" s="154">
        <v>4.5199999999999997E-2</v>
      </c>
      <c r="E359" s="188">
        <v>4.3099999999999999E-2</v>
      </c>
      <c r="F359" s="184">
        <v>3.5099999999999999E-2</v>
      </c>
    </row>
    <row r="360" spans="2:6" x14ac:dyDescent="0.2">
      <c r="B360" s="190" t="s">
        <v>248</v>
      </c>
      <c r="C360" s="153" t="s">
        <v>175</v>
      </c>
      <c r="D360" s="154">
        <v>5.91E-2</v>
      </c>
      <c r="E360" s="188">
        <v>4.0599999999999997E-2</v>
      </c>
      <c r="F360" s="184">
        <v>3.4000000000000002E-2</v>
      </c>
    </row>
    <row r="361" spans="2:6" x14ac:dyDescent="0.2">
      <c r="B361" s="191" t="s">
        <v>249</v>
      </c>
      <c r="C361" s="153" t="s">
        <v>176</v>
      </c>
      <c r="D361" s="154">
        <v>5.1799999999999999E-2</v>
      </c>
      <c r="E361" s="188">
        <v>4.6899999999999997E-2</v>
      </c>
      <c r="F361" s="184">
        <v>3.6799999999999999E-2</v>
      </c>
    </row>
    <row r="362" spans="2:6" x14ac:dyDescent="0.2">
      <c r="B362" s="191" t="s">
        <v>250</v>
      </c>
      <c r="C362" s="153" t="s">
        <v>177</v>
      </c>
      <c r="D362" s="154">
        <v>5.8900000000000001E-2</v>
      </c>
      <c r="E362" s="188">
        <v>6.3200000000000006E-2</v>
      </c>
      <c r="F362" s="184">
        <v>4.3999999999999997E-2</v>
      </c>
    </row>
    <row r="363" spans="2:6" x14ac:dyDescent="0.2">
      <c r="B363" s="191" t="s">
        <v>251</v>
      </c>
      <c r="C363" s="153" t="s">
        <v>178</v>
      </c>
      <c r="D363" s="154">
        <v>4.5699999999999998E-2</v>
      </c>
      <c r="E363" s="188">
        <v>5.33E-2</v>
      </c>
      <c r="F363" s="184">
        <v>3.9600000000000003E-2</v>
      </c>
    </row>
    <row r="364" spans="2:6" x14ac:dyDescent="0.2">
      <c r="B364" s="152" t="s">
        <v>126</v>
      </c>
      <c r="C364" s="153" t="s">
        <v>127</v>
      </c>
      <c r="D364" s="154">
        <v>2.87E-2</v>
      </c>
      <c r="E364" s="188">
        <v>2.8400000000000002E-2</v>
      </c>
      <c r="F364" s="184">
        <v>1.4200000000000001E-2</v>
      </c>
    </row>
    <row r="365" spans="2:6" x14ac:dyDescent="0.2">
      <c r="B365" s="152" t="s">
        <v>128</v>
      </c>
      <c r="C365" s="153" t="s">
        <v>179</v>
      </c>
      <c r="D365" s="154">
        <v>3.8899999999999997E-2</v>
      </c>
      <c r="E365" s="188">
        <v>2.6200000000000001E-2</v>
      </c>
      <c r="F365" s="184">
        <v>2.18E-2</v>
      </c>
    </row>
    <row r="366" spans="2:6" x14ac:dyDescent="0.2">
      <c r="B366" s="190" t="s">
        <v>252</v>
      </c>
      <c r="C366" s="153" t="s">
        <v>180</v>
      </c>
      <c r="D366" s="154">
        <v>0.10879999999999999</v>
      </c>
      <c r="E366" s="188">
        <v>7.2800000000000004E-2</v>
      </c>
      <c r="F366" s="184">
        <v>6.13E-2</v>
      </c>
    </row>
    <row r="367" spans="2:6" x14ac:dyDescent="0.2">
      <c r="B367" s="190" t="s">
        <v>253</v>
      </c>
      <c r="C367" s="153" t="s">
        <v>181</v>
      </c>
      <c r="D367" s="154">
        <v>2.35E-2</v>
      </c>
      <c r="E367" s="188">
        <v>1.6E-2</v>
      </c>
      <c r="F367" s="184">
        <v>1.37E-2</v>
      </c>
    </row>
    <row r="368" spans="2:6" x14ac:dyDescent="0.2">
      <c r="B368" s="152" t="s">
        <v>130</v>
      </c>
      <c r="C368" s="153" t="s">
        <v>131</v>
      </c>
      <c r="D368" s="154">
        <v>2.2800000000000001E-2</v>
      </c>
      <c r="E368" s="188">
        <v>2.2700000000000001E-2</v>
      </c>
      <c r="F368" s="184">
        <v>1.14E-2</v>
      </c>
    </row>
    <row r="369" spans="2:8" x14ac:dyDescent="0.2">
      <c r="B369" s="152" t="s">
        <v>132</v>
      </c>
      <c r="C369" s="153" t="s">
        <v>182</v>
      </c>
      <c r="D369" s="154">
        <v>5.6399999999999999E-2</v>
      </c>
      <c r="E369" s="186">
        <v>5.1400000000000001E-2</v>
      </c>
      <c r="F369" s="182">
        <v>3.5000000000000003E-2</v>
      </c>
    </row>
    <row r="370" spans="2:8" x14ac:dyDescent="0.2">
      <c r="B370" s="190" t="s">
        <v>254</v>
      </c>
      <c r="C370" s="153" t="s">
        <v>183</v>
      </c>
      <c r="D370" s="154">
        <v>0.19570000000000001</v>
      </c>
      <c r="E370" s="188">
        <v>0.17829999999999999</v>
      </c>
      <c r="F370" s="184">
        <v>0.12379999999999999</v>
      </c>
    </row>
    <row r="371" spans="2:8" x14ac:dyDescent="0.2">
      <c r="B371" s="190" t="s">
        <v>255</v>
      </c>
      <c r="C371" s="153" t="s">
        <v>184</v>
      </c>
      <c r="D371" s="154">
        <v>4.2799999999999998E-2</v>
      </c>
      <c r="E371" s="186">
        <v>3.95E-2</v>
      </c>
      <c r="F371" s="182">
        <v>2.81E-2</v>
      </c>
    </row>
    <row r="372" spans="2:8" x14ac:dyDescent="0.2">
      <c r="B372" s="152" t="s">
        <v>134</v>
      </c>
      <c r="C372" s="153" t="s">
        <v>135</v>
      </c>
      <c r="D372" s="154">
        <v>6.13E-2</v>
      </c>
      <c r="E372" s="187">
        <v>2.0400000000000001E-2</v>
      </c>
      <c r="F372" s="183">
        <v>8.8000000000000005E-3</v>
      </c>
    </row>
    <row r="373" spans="2:8" x14ac:dyDescent="0.2">
      <c r="B373" s="152" t="s">
        <v>136</v>
      </c>
      <c r="C373" s="153" t="s">
        <v>137</v>
      </c>
      <c r="D373" s="154">
        <v>5.2999999999999999E-2</v>
      </c>
      <c r="E373" s="187">
        <v>4.2999999999999997E-2</v>
      </c>
      <c r="F373" s="183">
        <v>4.1700000000000001E-2</v>
      </c>
    </row>
    <row r="374" spans="2:8" x14ac:dyDescent="0.2">
      <c r="B374" s="152" t="s">
        <v>138</v>
      </c>
      <c r="C374" s="153" t="s">
        <v>139</v>
      </c>
      <c r="D374" s="154">
        <v>4.41E-2</v>
      </c>
      <c r="E374" s="187">
        <v>0</v>
      </c>
      <c r="F374" s="183">
        <v>0</v>
      </c>
    </row>
    <row r="375" spans="2:8" x14ac:dyDescent="0.2">
      <c r="B375" s="152" t="s">
        <v>140</v>
      </c>
      <c r="C375" s="153" t="s">
        <v>141</v>
      </c>
      <c r="D375" s="154">
        <v>3.8600000000000002E-2</v>
      </c>
      <c r="E375" s="187">
        <v>2.01E-2</v>
      </c>
      <c r="F375" s="183">
        <v>5.1999999999999998E-3</v>
      </c>
    </row>
    <row r="376" spans="2:8" x14ac:dyDescent="0.2">
      <c r="B376" s="152" t="s">
        <v>142</v>
      </c>
      <c r="C376" s="153" t="s">
        <v>143</v>
      </c>
      <c r="D376" s="154">
        <v>1.2500000000000001E-2</v>
      </c>
      <c r="E376" s="188">
        <v>1.89E-2</v>
      </c>
      <c r="F376" s="184">
        <v>8.3000000000000001E-3</v>
      </c>
    </row>
    <row r="377" spans="2:8" x14ac:dyDescent="0.2">
      <c r="B377" s="152" t="s">
        <v>144</v>
      </c>
      <c r="C377" s="153" t="s">
        <v>145</v>
      </c>
      <c r="D377" s="154">
        <v>1.2500000000000001E-2</v>
      </c>
      <c r="E377" s="188">
        <v>1.89E-2</v>
      </c>
      <c r="F377" s="184">
        <v>8.3000000000000001E-3</v>
      </c>
    </row>
    <row r="378" spans="2:8" x14ac:dyDescent="0.2">
      <c r="B378" s="152" t="s">
        <v>146</v>
      </c>
      <c r="C378" s="153" t="s">
        <v>147</v>
      </c>
      <c r="D378" s="154">
        <v>1.2500000000000001E-2</v>
      </c>
      <c r="E378" s="188">
        <v>1.89E-2</v>
      </c>
      <c r="F378" s="184">
        <v>8.3000000000000001E-3</v>
      </c>
    </row>
    <row r="379" spans="2:8" x14ac:dyDescent="0.2">
      <c r="B379" s="152" t="s">
        <v>148</v>
      </c>
      <c r="C379" s="153" t="s">
        <v>149</v>
      </c>
      <c r="D379" s="154">
        <v>1.2500000000000001E-2</v>
      </c>
      <c r="E379" s="187">
        <v>1.89E-2</v>
      </c>
      <c r="F379" s="184">
        <v>8.3000000000000001E-3</v>
      </c>
    </row>
    <row r="380" spans="2:8" x14ac:dyDescent="0.2">
      <c r="B380" s="152" t="s">
        <v>150</v>
      </c>
      <c r="C380" s="153" t="s">
        <v>151</v>
      </c>
      <c r="D380" s="154">
        <v>1.2500000000000001E-2</v>
      </c>
      <c r="E380" s="187">
        <v>1.89E-2</v>
      </c>
      <c r="F380" s="184">
        <v>8.3000000000000001E-3</v>
      </c>
    </row>
    <row r="381" spans="2:8" x14ac:dyDescent="0.2">
      <c r="B381" s="152" t="s">
        <v>152</v>
      </c>
      <c r="C381" s="153" t="s">
        <v>153</v>
      </c>
      <c r="D381" s="154">
        <v>1.2500000000000001E-2</v>
      </c>
      <c r="E381" s="188">
        <v>1.89E-2</v>
      </c>
      <c r="F381" s="184">
        <v>8.3000000000000001E-3</v>
      </c>
    </row>
    <row r="382" spans="2:8" x14ac:dyDescent="0.2">
      <c r="B382" s="152" t="s">
        <v>154</v>
      </c>
      <c r="C382" s="153" t="s">
        <v>155</v>
      </c>
      <c r="D382" s="154">
        <v>1.2500000000000001E-2</v>
      </c>
      <c r="E382" s="186">
        <v>4.6199999999999998E-2</v>
      </c>
      <c r="F382" s="182">
        <v>3.8399999999999997E-2</v>
      </c>
      <c r="H382" s="9"/>
    </row>
    <row r="383" spans="2:8" x14ac:dyDescent="0.2">
      <c r="B383" s="152" t="s">
        <v>156</v>
      </c>
      <c r="C383" s="153" t="s">
        <v>157</v>
      </c>
      <c r="D383" s="154">
        <v>6.7999999999999996E-3</v>
      </c>
      <c r="E383" s="188">
        <v>8.0999999999999996E-3</v>
      </c>
      <c r="F383" s="184">
        <v>6.0000000000000001E-3</v>
      </c>
    </row>
    <row r="384" spans="2:8" x14ac:dyDescent="0.2">
      <c r="B384" s="152" t="s">
        <v>158</v>
      </c>
      <c r="C384" s="153" t="s">
        <v>159</v>
      </c>
      <c r="D384" s="154">
        <v>1.8800000000000001E-2</v>
      </c>
      <c r="E384" s="188">
        <v>1.4500000000000001E-2</v>
      </c>
      <c r="F384" s="184">
        <v>2.1999999999999999E-2</v>
      </c>
    </row>
    <row r="385" spans="2:8" x14ac:dyDescent="0.2">
      <c r="B385" s="128"/>
      <c r="C385" s="89"/>
      <c r="D385" s="155"/>
      <c r="E385" s="5"/>
      <c r="F385" s="162"/>
    </row>
    <row r="386" spans="2:8" collapsed="1" x14ac:dyDescent="0.2">
      <c r="H386" s="9"/>
    </row>
  </sheetData>
  <sheetProtection password="D8FA" sheet="1" objects="1" scenarios="1"/>
  <mergeCells count="70">
    <mergeCell ref="B37:C37"/>
    <mergeCell ref="B26:F26"/>
    <mergeCell ref="B4:F4"/>
    <mergeCell ref="B7:C7"/>
    <mergeCell ref="B8:C8"/>
    <mergeCell ref="B9:C9"/>
    <mergeCell ref="B10:C10"/>
    <mergeCell ref="B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6:C3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2:C22"/>
    <mergeCell ref="B23:C23"/>
    <mergeCell ref="B24:C24"/>
    <mergeCell ref="B51:C51"/>
    <mergeCell ref="B40:F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2:F2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52:C52"/>
    <mergeCell ref="B38:C38"/>
    <mergeCell ref="B53:C53"/>
    <mergeCell ref="B55:F55"/>
    <mergeCell ref="B56:C56"/>
    <mergeCell ref="B57:C57"/>
    <mergeCell ref="B65:C65"/>
    <mergeCell ref="B66:C66"/>
    <mergeCell ref="B67:C67"/>
    <mergeCell ref="B68:C68"/>
    <mergeCell ref="B58:C58"/>
    <mergeCell ref="B82:F82"/>
    <mergeCell ref="B226:F226"/>
    <mergeCell ref="B154:F154"/>
    <mergeCell ref="B298:F298"/>
    <mergeCell ref="B71:F71"/>
    <mergeCell ref="B78:C78"/>
    <mergeCell ref="B77:C77"/>
  </mergeCells>
  <pageMargins left="0.7" right="0.7" top="0.75" bottom="0.75" header="0.3" footer="0.3"/>
  <pageSetup paperSize="9" scale="69" fitToHeight="0" orientation="portrait" r:id="rId1"/>
  <rowBreaks count="6" manualBreakCount="6">
    <brk id="70" max="8" man="1"/>
    <brk id="81" max="8" man="1"/>
    <brk id="153" max="8" man="1"/>
    <brk id="225" max="8" man="1"/>
    <brk id="297" max="8" man="1"/>
    <brk id="34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19d8cd-d016-4ba8-bdcf-b1e473862b37">WSFLEX-139251069-5928</_dlc_DocId>
    <_dlc_DocIdUrl xmlns="5219d8cd-d016-4ba8-bdcf-b1e473862b37">
      <Url>http://workspace.mazars.nl/team/Flex/_layouts/15/DocIdRedir.aspx?ID=WSFLEX-139251069-5928</Url>
      <Description>WSFLEX-139251069-5928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F6E28DF976F14582072419C37E100B" ma:contentTypeVersion="2" ma:contentTypeDescription="Een nieuw document maken." ma:contentTypeScope="" ma:versionID="aa453572b72c7d9cd98c4eaee37c56a9">
  <xsd:schema xmlns:xsd="http://www.w3.org/2001/XMLSchema" xmlns:xs="http://www.w3.org/2001/XMLSchema" xmlns:p="http://schemas.microsoft.com/office/2006/metadata/properties" xmlns:ns2="5219d8cd-d016-4ba8-bdcf-b1e473862b37" targetNamespace="http://schemas.microsoft.com/office/2006/metadata/properties" ma:root="true" ma:fieldsID="bf11fc8815d7b9e9ad9914addb99d327" ns2:_="">
    <xsd:import namespace="5219d8cd-d016-4ba8-bdcf-b1e473862b3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9d8cd-d016-4ba8-bdcf-b1e473862b3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92CEB4-00A2-457C-A6C7-264ABCE903EC}">
  <ds:schemaRefs>
    <ds:schemaRef ds:uri="http://purl.org/dc/terms/"/>
    <ds:schemaRef ds:uri="5219d8cd-d016-4ba8-bdcf-b1e473862b3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B05ED8C-F248-4C0B-9AFA-4F2B2A6A6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9d8cd-d016-4ba8-bdcf-b1e473862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BE03D7-B589-4859-92F8-A87D34DCF21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4813292-3F09-4269-9194-C30AF7A001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Uitleg</vt:lpstr>
      <vt:lpstr>Invulformulier</vt:lpstr>
      <vt:lpstr>Premies 2017 en 2018</vt:lpstr>
      <vt:lpstr>Formules</vt:lpstr>
      <vt:lpstr>Hulpsheet</vt:lpstr>
      <vt:lpstr>Premies en parameters</vt:lpstr>
      <vt:lpstr>'Premies en parameters'!Afdrukbereik</vt:lpstr>
    </vt:vector>
  </TitlesOfParts>
  <Company>Mazars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20171030 Rekentool premies 2018</dc:title>
  <dc:creator>Stephanie van Kuijk</dc:creator>
  <cp:lastModifiedBy>Christina Akker</cp:lastModifiedBy>
  <cp:lastPrinted>2017-10-27T08:40:06Z</cp:lastPrinted>
  <dcterms:created xsi:type="dcterms:W3CDTF">2015-10-23T12:48:12Z</dcterms:created>
  <dcterms:modified xsi:type="dcterms:W3CDTF">2017-11-30T14:42:24Z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0x010100C9F6E28DF976F14582072419C37E100B</vt:lpwstr>
  </property>
  <property fmtid="{D5CDD505-2E9C-101B-9397-08002B2CF9AE}" pid="3" name="_dlc_DocIdItemGuid">
    <vt:lpwstr>9ee7e7da-a243-4bb6-8a4c-716a8c9a5a68</vt:lpwstr>
  </property>
  <property fmtid="{D5CDD505-2E9C-101B-9397-08002B2CF9AE}" pid="4" name="Order">
    <vt:r8>384500</vt:r8>
  </property>
</Properties>
</file>